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firstSheet="1" activeTab="7"/>
  </bookViews>
  <sheets>
    <sheet name="awpa pl raw" sheetId="1" r:id="rId1"/>
    <sheet name="awpa bp raw" sheetId="2" r:id="rId2"/>
    <sheet name="awpa dl raw" sheetId="3" r:id="rId3"/>
    <sheet name="awpa dl eq st" sheetId="4" r:id="rId4"/>
    <sheet name="wpa pl raw" sheetId="5" r:id="rId5"/>
    <sheet name="wpa pl eq st" sheetId="6" r:id="rId6"/>
    <sheet name="wpa bp raw" sheetId="7" r:id="rId7"/>
    <sheet name="awpc bp soft eq st" sheetId="8" r:id="rId8"/>
    <sheet name="awpc нар жим" sheetId="9" r:id="rId9"/>
    <sheet name="wpc bp soft eq st" sheetId="10" r:id="rId10"/>
    <sheet name="wpc нар жим" sheetId="11" r:id="rId11"/>
    <sheet name="wpa dl raw" sheetId="12" r:id="rId12"/>
  </sheets>
  <externalReferences>
    <externalReference r:id="rId15"/>
  </externalReferences>
  <definedNames/>
  <calcPr fullCalcOnLoad="1" refMode="R1C1"/>
</workbook>
</file>

<file path=xl/sharedStrings.xml><?xml version="1.0" encoding="utf-8"?>
<sst xmlns="http://schemas.openxmlformats.org/spreadsheetml/2006/main" count="2476" uniqueCount="777">
  <si>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</si>
  <si>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</si>
  <si>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</si>
  <si>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</si>
  <si>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</si>
  <si>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</si>
  <si>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</si>
  <si>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</si>
  <si>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</si>
  <si>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</si>
  <si>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коэф</t>
  </si>
  <si>
    <t>Город</t>
  </si>
  <si>
    <t>Возр груп
Год. р./Возраст</t>
  </si>
  <si>
    <t>ВЕСОВАЯ КАТЕГОРИЯ   48</t>
  </si>
  <si>
    <t>Вавилкина Галина</t>
  </si>
  <si>
    <t>Masters 45-49 (25.04.1971)/47</t>
  </si>
  <si>
    <t xml:space="preserve">Come on gym </t>
  </si>
  <si>
    <t xml:space="preserve">Москва </t>
  </si>
  <si>
    <t>65,0</t>
  </si>
  <si>
    <t>70,0</t>
  </si>
  <si>
    <t>42,5</t>
  </si>
  <si>
    <t>45,0</t>
  </si>
  <si>
    <t>47,5</t>
  </si>
  <si>
    <t>87,5</t>
  </si>
  <si>
    <t>95,0</t>
  </si>
  <si>
    <t>100,0</t>
  </si>
  <si>
    <t>210.00</t>
  </si>
  <si>
    <t xml:space="preserve"> </t>
  </si>
  <si>
    <t>ВЕСОВАЯ КАТЕГОРИЯ   52</t>
  </si>
  <si>
    <t>Смирнова Анна</t>
  </si>
  <si>
    <t>Open (09.03.1983)/35</t>
  </si>
  <si>
    <t xml:space="preserve">лично </t>
  </si>
  <si>
    <t xml:space="preserve">Лыткарино/Московская область </t>
  </si>
  <si>
    <t>80,0</t>
  </si>
  <si>
    <t>90,0</t>
  </si>
  <si>
    <t>50,0</t>
  </si>
  <si>
    <t>52,5</t>
  </si>
  <si>
    <t>242.50</t>
  </si>
  <si>
    <t>ВЕСОВАЯ КАТЕГОРИЯ   60</t>
  </si>
  <si>
    <t>Абрамова Елена</t>
  </si>
  <si>
    <t>Open (29.05.1985)/33</t>
  </si>
  <si>
    <t xml:space="preserve">Химки/Московская область </t>
  </si>
  <si>
    <t>75,0</t>
  </si>
  <si>
    <t>40,0</t>
  </si>
  <si>
    <t>85,0</t>
  </si>
  <si>
    <t>207.50</t>
  </si>
  <si>
    <t>ВЕСОВАЯ КАТЕГОРИЯ   67.5</t>
  </si>
  <si>
    <t>Ярилина Юлия</t>
  </si>
  <si>
    <t>Open (14.06.1994)/24</t>
  </si>
  <si>
    <t>105,0</t>
  </si>
  <si>
    <t>110,0</t>
  </si>
  <si>
    <t>115,0</t>
  </si>
  <si>
    <t>67,5</t>
  </si>
  <si>
    <t>300.00</t>
  </si>
  <si>
    <t>ВЕСОВАЯ КАТЕГОРИЯ   75</t>
  </si>
  <si>
    <t>Корнеев Дмитрий</t>
  </si>
  <si>
    <t>Open (16.01.1991)/27</t>
  </si>
  <si>
    <t>150,0</t>
  </si>
  <si>
    <t>180,0</t>
  </si>
  <si>
    <t>0.00</t>
  </si>
  <si>
    <t>ВЕСОВАЯ КАТЕГОРИЯ   82.5</t>
  </si>
  <si>
    <t>Лодыгин Михаил</t>
  </si>
  <si>
    <t>Open (22.04.1986)/32</t>
  </si>
  <si>
    <t>125,0</t>
  </si>
  <si>
    <t>130,0</t>
  </si>
  <si>
    <t>135,0</t>
  </si>
  <si>
    <t>77,5</t>
  </si>
  <si>
    <t>82,5</t>
  </si>
  <si>
    <t>140,0</t>
  </si>
  <si>
    <t>145,0</t>
  </si>
  <si>
    <t>362.50</t>
  </si>
  <si>
    <t>ВЕСОВАЯ КАТЕГОРИЯ   90</t>
  </si>
  <si>
    <t>Щекотов Игорь</t>
  </si>
  <si>
    <t>Open (12.03.1987)/31</t>
  </si>
  <si>
    <t>175,0</t>
  </si>
  <si>
    <t>185,0</t>
  </si>
  <si>
    <t>195,0</t>
  </si>
  <si>
    <t>120,0</t>
  </si>
  <si>
    <t>200,0</t>
  </si>
  <si>
    <t>510.00</t>
  </si>
  <si>
    <t>ВЕСОВАЯ КАТЕГОРИЯ   100</t>
  </si>
  <si>
    <t>Петренко Сергей</t>
  </si>
  <si>
    <t>Sub Masters 33-39 (11.06.1982)/36</t>
  </si>
  <si>
    <t xml:space="preserve">Инфотекс </t>
  </si>
  <si>
    <t xml:space="preserve">Мытищи/Московская область </t>
  </si>
  <si>
    <t>352.50</t>
  </si>
  <si>
    <t>ВЕСОВАЯ КАТЕГОРИЯ   125</t>
  </si>
  <si>
    <t>Паршиков Ион</t>
  </si>
  <si>
    <t>Juniors 20-23 (14.10.1995)/23</t>
  </si>
  <si>
    <t xml:space="preserve">Вязьма/Смоленская область </t>
  </si>
  <si>
    <t>230,0</t>
  </si>
  <si>
    <t>240,0</t>
  </si>
  <si>
    <t>155,0</t>
  </si>
  <si>
    <t>160,0</t>
  </si>
  <si>
    <t>165,0</t>
  </si>
  <si>
    <t>235,0</t>
  </si>
  <si>
    <t>630.00</t>
  </si>
  <si>
    <t>Open (14.10.1995)/23</t>
  </si>
  <si>
    <t>Ардашев Максим</t>
  </si>
  <si>
    <t>Masters 40-44 (16.04.1977)/41</t>
  </si>
  <si>
    <t>327.50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</si>
  <si>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</si>
  <si>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</si>
  <si>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</si>
  <si>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</si>
  <si>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</si>
  <si>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</si>
  <si>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</si>
  <si>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Open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</si>
  <si>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</si>
  <si>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</si>
  <si>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</si>
  <si>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</si>
  <si>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</si>
  <si>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Открытая </t>
  </si>
  <si>
    <t xml:space="preserve">67.5 </t>
  </si>
  <si>
    <t>300,0</t>
  </si>
  <si>
    <t>234,8100</t>
  </si>
  <si>
    <t xml:space="preserve">52 </t>
  </si>
  <si>
    <t>242,5</t>
  </si>
  <si>
    <t>234,4975</t>
  </si>
  <si>
    <t xml:space="preserve">60 </t>
  </si>
  <si>
    <t>207,5</t>
  </si>
  <si>
    <t>181,3135</t>
  </si>
  <si>
    <t xml:space="preserve">Masters </t>
  </si>
  <si>
    <t xml:space="preserve">Мастера 45 - 49 </t>
  </si>
  <si>
    <t xml:space="preserve">48 </t>
  </si>
  <si>
    <t>210,0</t>
  </si>
  <si>
    <t>238,6075</t>
  </si>
  <si>
    <t xml:space="preserve">Мужчины </t>
  </si>
  <si>
    <t xml:space="preserve">Junior </t>
  </si>
  <si>
    <t xml:space="preserve">Юниоры 20 - 23 </t>
  </si>
  <si>
    <t xml:space="preserve">125 </t>
  </si>
  <si>
    <t>630,0</t>
  </si>
  <si>
    <t>335,0970</t>
  </si>
  <si>
    <t xml:space="preserve">90 </t>
  </si>
  <si>
    <t>510,0</t>
  </si>
  <si>
    <t>305,5410</t>
  </si>
  <si>
    <t xml:space="preserve">82.5 </t>
  </si>
  <si>
    <t>362,5</t>
  </si>
  <si>
    <t>227,7950</t>
  </si>
  <si>
    <t xml:space="preserve">Мастера 40 - 44 </t>
  </si>
  <si>
    <t>327,5</t>
  </si>
  <si>
    <t>173,0446</t>
  </si>
  <si>
    <t>Открытый чемпионат Москвы                                                                                                                        пауэрлифтинг AWPA без экипировки
29 Июля 2018</t>
  </si>
  <si>
    <t>Открытый чемпионат Москвы                                                                                                                                                     жим лежа  AWPA без экипировки
29 Июля 2018</t>
  </si>
  <si>
    <t>ВЕСОВАЯ КАТЕГОРИЯ   44</t>
  </si>
  <si>
    <t>Фарахманд Сохайла</t>
  </si>
  <si>
    <t>Open (13.04.1988)/30</t>
  </si>
  <si>
    <t>41,7</t>
  </si>
  <si>
    <t>47.50</t>
  </si>
  <si>
    <t>Лысенкова Елена</t>
  </si>
  <si>
    <t>Open (29.03.1989)/29</t>
  </si>
  <si>
    <t>47,1</t>
  </si>
  <si>
    <t xml:space="preserve">Долгопрудный/Московская область </t>
  </si>
  <si>
    <t>45.00</t>
  </si>
  <si>
    <t>ВЕСОВАЯ КАТЕГОРИЯ   56</t>
  </si>
  <si>
    <t>Ильинская Екатерина</t>
  </si>
  <si>
    <t>Open (04.12.1988)/30</t>
  </si>
  <si>
    <t>55,7</t>
  </si>
  <si>
    <t>67.50</t>
  </si>
  <si>
    <t>Татаринцева Юлия</t>
  </si>
  <si>
    <t>Open (26.09.1993)/25</t>
  </si>
  <si>
    <t>56,2</t>
  </si>
  <si>
    <t>60,0</t>
  </si>
  <si>
    <t>62,5</t>
  </si>
  <si>
    <t>60.00</t>
  </si>
  <si>
    <t>Чаплыгина Татьяна</t>
  </si>
  <si>
    <t>Open (05.05.1984)/34</t>
  </si>
  <si>
    <t>53,5</t>
  </si>
  <si>
    <t xml:space="preserve">Люберцы/Московская область </t>
  </si>
  <si>
    <t>55,0</t>
  </si>
  <si>
    <t>57,5</t>
  </si>
  <si>
    <t>57.50</t>
  </si>
  <si>
    <t>58,9</t>
  </si>
  <si>
    <t>40.00</t>
  </si>
  <si>
    <t>Яковлева Ирина</t>
  </si>
  <si>
    <t>Masters 45-49 (08.01.1970)/48</t>
  </si>
  <si>
    <t>73,9</t>
  </si>
  <si>
    <t xml:space="preserve">Солнечногорск/Московская область </t>
  </si>
  <si>
    <t>90.00</t>
  </si>
  <si>
    <t>Матвеев Александр</t>
  </si>
  <si>
    <t>Juniors 20-23 (05.12.1995)/23</t>
  </si>
  <si>
    <t>55,1</t>
  </si>
  <si>
    <t>72,5</t>
  </si>
  <si>
    <t>80.00</t>
  </si>
  <si>
    <t>Пустомолотов Сергей</t>
  </si>
  <si>
    <t>Open (29.11.1979)/39</t>
  </si>
  <si>
    <t>65.00</t>
  </si>
  <si>
    <t>Наумов Артем</t>
  </si>
  <si>
    <t>Open (12.06.1984)/34</t>
  </si>
  <si>
    <t>66,7</t>
  </si>
  <si>
    <t xml:space="preserve">Одинцово/Московская область </t>
  </si>
  <si>
    <t>130.00</t>
  </si>
  <si>
    <t>Ярилин Иван</t>
  </si>
  <si>
    <t>Open (07.12.1993)/25</t>
  </si>
  <si>
    <t>120.00</t>
  </si>
  <si>
    <t>Исаев Даниил</t>
  </si>
  <si>
    <t>Teen 13-15 (23.12.2002)/16</t>
  </si>
  <si>
    <t>92,5</t>
  </si>
  <si>
    <t>92.50</t>
  </si>
  <si>
    <t>Куклин Денис</t>
  </si>
  <si>
    <t>Open (06.09.1989)/29</t>
  </si>
  <si>
    <t>72,8</t>
  </si>
  <si>
    <t xml:space="preserve">Новосибирск/Новосибирская область </t>
  </si>
  <si>
    <t>127,5</t>
  </si>
  <si>
    <t>137,5</t>
  </si>
  <si>
    <t>137.50</t>
  </si>
  <si>
    <t>Нечаев Алексей</t>
  </si>
  <si>
    <t>Open (17.11.1987)/31</t>
  </si>
  <si>
    <t>74,5</t>
  </si>
  <si>
    <t>125.00</t>
  </si>
  <si>
    <t xml:space="preserve">Прокаев Николай </t>
  </si>
  <si>
    <t>Дьяков Эдвард</t>
  </si>
  <si>
    <t>Open (27.01.1989)/29</t>
  </si>
  <si>
    <t>73,3</t>
  </si>
  <si>
    <t>117,5</t>
  </si>
  <si>
    <t>Краснов Владислав</t>
  </si>
  <si>
    <t>Juniors 20-23 (02.11.1997)/21</t>
  </si>
  <si>
    <t>81,1</t>
  </si>
  <si>
    <t>147,5</t>
  </si>
  <si>
    <t>147.50</t>
  </si>
  <si>
    <t>Чернявский Тимофей</t>
  </si>
  <si>
    <t>Open (08.09.1985)/33</t>
  </si>
  <si>
    <t>80,3</t>
  </si>
  <si>
    <t xml:space="preserve">ЯНАО </t>
  </si>
  <si>
    <t xml:space="preserve">Новый-Уренгой/Ямало-ненецкий автономный округ </t>
  </si>
  <si>
    <t>170,0</t>
  </si>
  <si>
    <t>170.00</t>
  </si>
  <si>
    <t>Плаксин Евгений</t>
  </si>
  <si>
    <t>Open (26.12.1987)/31</t>
  </si>
  <si>
    <t>82,0</t>
  </si>
  <si>
    <t xml:space="preserve">Липецк/Липецкая область </t>
  </si>
  <si>
    <t>155.00</t>
  </si>
  <si>
    <t>Сергеев Дмитрий</t>
  </si>
  <si>
    <t>Open (12.02.1987)/31</t>
  </si>
  <si>
    <t>78,6</t>
  </si>
  <si>
    <t xml:space="preserve">Zubr </t>
  </si>
  <si>
    <t>115.00</t>
  </si>
  <si>
    <t>Дрыгин Владлен</t>
  </si>
  <si>
    <t>Masters 60-64 (18.02.1956)/62</t>
  </si>
  <si>
    <t>81,6</t>
  </si>
  <si>
    <t xml:space="preserve">Зеленоград/Московская область </t>
  </si>
  <si>
    <t>107,5</t>
  </si>
  <si>
    <t>110.00</t>
  </si>
  <si>
    <t>Вержановский Артем</t>
  </si>
  <si>
    <t>Teen 13-15 (24.10.2002)/16</t>
  </si>
  <si>
    <t>85,8</t>
  </si>
  <si>
    <t>102,5</t>
  </si>
  <si>
    <t>100.00</t>
  </si>
  <si>
    <t>Рогачев Игорь</t>
  </si>
  <si>
    <t>Juniors 20-23 (07.08.1994)/24</t>
  </si>
  <si>
    <t>88,5</t>
  </si>
  <si>
    <t>152,5</t>
  </si>
  <si>
    <t>145.00</t>
  </si>
  <si>
    <t>Орехов Вадим</t>
  </si>
  <si>
    <t>Open (08.10.1989)/29</t>
  </si>
  <si>
    <t>88,0</t>
  </si>
  <si>
    <t xml:space="preserve">Подольск/Московская область </t>
  </si>
  <si>
    <t>132,5</t>
  </si>
  <si>
    <t>Дементьев Сергей</t>
  </si>
  <si>
    <t>Open (22.02.1983)/35</t>
  </si>
  <si>
    <t xml:space="preserve">Щелково/Московская область </t>
  </si>
  <si>
    <t>132.50</t>
  </si>
  <si>
    <t>Аристов Дмитрий</t>
  </si>
  <si>
    <t>Open (21.01.1981)/37</t>
  </si>
  <si>
    <t>87,8</t>
  </si>
  <si>
    <t>Тимохин Георгий</t>
  </si>
  <si>
    <t>Open (29.01.1993)/25</t>
  </si>
  <si>
    <t>87,7</t>
  </si>
  <si>
    <t xml:space="preserve">Панкратов Илья </t>
  </si>
  <si>
    <t>Сухарев Игорь</t>
  </si>
  <si>
    <t>Open (20.12.1989)/29</t>
  </si>
  <si>
    <t>85,2</t>
  </si>
  <si>
    <t xml:space="preserve">Фрязино/Московская область </t>
  </si>
  <si>
    <t>Шустов Алексей</t>
  </si>
  <si>
    <t>Open (19.10.1985)/33</t>
  </si>
  <si>
    <t>95,8</t>
  </si>
  <si>
    <t>177,5</t>
  </si>
  <si>
    <t>Данилов Виталий</t>
  </si>
  <si>
    <t>Open (23.08.1986)/32</t>
  </si>
  <si>
    <t>95,3</t>
  </si>
  <si>
    <t>160.00</t>
  </si>
  <si>
    <t>Урлов Михаил</t>
  </si>
  <si>
    <t>Open (30.07.1984)/34</t>
  </si>
  <si>
    <t>96,5</t>
  </si>
  <si>
    <t xml:space="preserve">Орехово-Зуево/Московская область </t>
  </si>
  <si>
    <t>162,5</t>
  </si>
  <si>
    <t>Розмирец Руслан</t>
  </si>
  <si>
    <t>Open (26.08.1976)/42</t>
  </si>
  <si>
    <t>96,6</t>
  </si>
  <si>
    <t>Кутельвяс Дмитрий</t>
  </si>
  <si>
    <t>Open (21.11.1991)/27</t>
  </si>
  <si>
    <t>94,1</t>
  </si>
  <si>
    <t xml:space="preserve">Бугульма/Татарстан </t>
  </si>
  <si>
    <t>150.00</t>
  </si>
  <si>
    <t>Левыкин Владимир</t>
  </si>
  <si>
    <t>Open (19.07.1981)/37</t>
  </si>
  <si>
    <t>93,9</t>
  </si>
  <si>
    <t xml:space="preserve">Балашиха/Московская область </t>
  </si>
  <si>
    <t>Чернявский Дмитрий</t>
  </si>
  <si>
    <t>93,2</t>
  </si>
  <si>
    <t xml:space="preserve">Новый Уренгой/Ямало-Ненецкий авт. окр. </t>
  </si>
  <si>
    <t>140.00</t>
  </si>
  <si>
    <t>Зайкин Андрей</t>
  </si>
  <si>
    <t>Open (21.01.1984)/34</t>
  </si>
  <si>
    <t>96,9</t>
  </si>
  <si>
    <t>Вавилкин Юрий</t>
  </si>
  <si>
    <t>Open (04.03.1994)/24</t>
  </si>
  <si>
    <t>97,4</t>
  </si>
  <si>
    <t>Панчев Антон</t>
  </si>
  <si>
    <t>Open (05.10.1987)/31</t>
  </si>
  <si>
    <t>99,6</t>
  </si>
  <si>
    <t>Овинов Сергей</t>
  </si>
  <si>
    <t>Masters 40-44 (17.09.1976)/42</t>
  </si>
  <si>
    <t>96,3</t>
  </si>
  <si>
    <t xml:space="preserve">Бузулук/Оренбургская область </t>
  </si>
  <si>
    <t>Masters 40-44 (26.08.1976)/42</t>
  </si>
  <si>
    <t>ВЕСОВАЯ КАТЕГОРИЯ   110</t>
  </si>
  <si>
    <t>Манцеров Александр</t>
  </si>
  <si>
    <t>Open (13.06.1983)/35</t>
  </si>
  <si>
    <t>109,1</t>
  </si>
  <si>
    <t xml:space="preserve">Омск/Омская область </t>
  </si>
  <si>
    <t>205,0</t>
  </si>
  <si>
    <t>205.00</t>
  </si>
  <si>
    <t>Намазов Руслан</t>
  </si>
  <si>
    <t>Open (07.01.1994)/24</t>
  </si>
  <si>
    <t>105,4</t>
  </si>
  <si>
    <t>Селезнев Владимир</t>
  </si>
  <si>
    <t>Open (09.05.1977)/41</t>
  </si>
  <si>
    <t>122,3</t>
  </si>
  <si>
    <t>Степанов Вадим</t>
  </si>
  <si>
    <t>Open (24.08.1986)/32</t>
  </si>
  <si>
    <t>118,0</t>
  </si>
  <si>
    <t>167,5</t>
  </si>
  <si>
    <t>172,5</t>
  </si>
  <si>
    <t>Корзинкин Вадим</t>
  </si>
  <si>
    <t>Open (26.03.1983)/35</t>
  </si>
  <si>
    <t>115,3</t>
  </si>
  <si>
    <t>Masters 40-44 (09.05.1977)/41</t>
  </si>
  <si>
    <t>Бычков Игорь</t>
  </si>
  <si>
    <t>Masters 45-49 (18.06.1970)/48</t>
  </si>
  <si>
    <t>112,8</t>
  </si>
  <si>
    <t xml:space="preserve">ОСН "Сатурн" </t>
  </si>
  <si>
    <t>Чубаров Владимир</t>
  </si>
  <si>
    <t>Masters 50-54 (03.04.1964)/54</t>
  </si>
  <si>
    <t>122,7</t>
  </si>
  <si>
    <t xml:space="preserve">56 </t>
  </si>
  <si>
    <t>61,4925</t>
  </si>
  <si>
    <t xml:space="preserve">44 </t>
  </si>
  <si>
    <t>54,8957</t>
  </si>
  <si>
    <t>54,5160</t>
  </si>
  <si>
    <t>54,4065</t>
  </si>
  <si>
    <t>47,2230</t>
  </si>
  <si>
    <t>34,9520</t>
  </si>
  <si>
    <t xml:space="preserve">75 </t>
  </si>
  <si>
    <t>73,3165</t>
  </si>
  <si>
    <t xml:space="preserve">Teenagers </t>
  </si>
  <si>
    <t xml:space="preserve">Юноши 13 - 15 </t>
  </si>
  <si>
    <t>63,1590</t>
  </si>
  <si>
    <t>60,3100</t>
  </si>
  <si>
    <t>92,4530</t>
  </si>
  <si>
    <t>85,7530</t>
  </si>
  <si>
    <t>71,2480</t>
  </si>
  <si>
    <t xml:space="preserve">110 </t>
  </si>
  <si>
    <t>110,2080</t>
  </si>
  <si>
    <t>107,3040</t>
  </si>
  <si>
    <t>96,3945</t>
  </si>
  <si>
    <t xml:space="preserve">100 </t>
  </si>
  <si>
    <t>96,1180</t>
  </si>
  <si>
    <t>95,3810</t>
  </si>
  <si>
    <t>93,5687</t>
  </si>
  <si>
    <t>92,3270</t>
  </si>
  <si>
    <t>90,7040</t>
  </si>
  <si>
    <t>89,1820</t>
  </si>
  <si>
    <t>87,3115</t>
  </si>
  <si>
    <t>87,2650</t>
  </si>
  <si>
    <t>87,0960</t>
  </si>
  <si>
    <t>85,6050</t>
  </si>
  <si>
    <t>84,6080</t>
  </si>
  <si>
    <t>84,2815</t>
  </si>
  <si>
    <t>83,5000</t>
  </si>
  <si>
    <t>81,6063</t>
  </si>
  <si>
    <t>80,3180</t>
  </si>
  <si>
    <t>78,9170</t>
  </si>
  <si>
    <t>74,2875</t>
  </si>
  <si>
    <t>73,7380</t>
  </si>
  <si>
    <t xml:space="preserve">Мастера 60 - 64 </t>
  </si>
  <si>
    <t>120,4825</t>
  </si>
  <si>
    <t xml:space="preserve">Мастера 50 - 54 </t>
  </si>
  <si>
    <t>118,4990</t>
  </si>
  <si>
    <t>101,2873</t>
  </si>
  <si>
    <t>89,4496</t>
  </si>
  <si>
    <t>87,6667</t>
  </si>
  <si>
    <t>87,5268</t>
  </si>
  <si>
    <t>Открытый чемпионат Москвы                                                                                                              становая тяга AWPA без экипировки
29 Июля 2018</t>
  </si>
  <si>
    <t>Open (25.04.1971)/47</t>
  </si>
  <si>
    <t>47,6</t>
  </si>
  <si>
    <t>Жумагулова Мария</t>
  </si>
  <si>
    <t>Open (04.08.1991)/27</t>
  </si>
  <si>
    <t>49,4</t>
  </si>
  <si>
    <t>70.00</t>
  </si>
  <si>
    <t xml:space="preserve">Зрюев Алексей </t>
  </si>
  <si>
    <t>Маняжина Екатерина</t>
  </si>
  <si>
    <t>Teen 18-19 (02.08.1998)/20</t>
  </si>
  <si>
    <t>85.00</t>
  </si>
  <si>
    <t>Вашкеба Елизавета</t>
  </si>
  <si>
    <t>Juniors 20-23 (27.08.1997)/21</t>
  </si>
  <si>
    <t>67,1</t>
  </si>
  <si>
    <t>142,5</t>
  </si>
  <si>
    <t>Калугина Дарья</t>
  </si>
  <si>
    <t>Open (17.07.1983)/35</t>
  </si>
  <si>
    <t>71,6</t>
  </si>
  <si>
    <t xml:space="preserve">Видное/Московская область </t>
  </si>
  <si>
    <t>142.50</t>
  </si>
  <si>
    <t>Змиевская Ирина</t>
  </si>
  <si>
    <t>Open (17.11.1988)/30</t>
  </si>
  <si>
    <t>71,2</t>
  </si>
  <si>
    <t>97,5</t>
  </si>
  <si>
    <t>Чефранова Анна</t>
  </si>
  <si>
    <t>Masters 45-49 (25.05.1969)/49</t>
  </si>
  <si>
    <t>76,2</t>
  </si>
  <si>
    <t>102.50</t>
  </si>
  <si>
    <t>190,0</t>
  </si>
  <si>
    <t>190.00</t>
  </si>
  <si>
    <t>Зрюев Алексей</t>
  </si>
  <si>
    <t>Open (27.07.1991)/27</t>
  </si>
  <si>
    <t>74,2</t>
  </si>
  <si>
    <t>202,5</t>
  </si>
  <si>
    <t>202.50</t>
  </si>
  <si>
    <t>Осокин Александр</t>
  </si>
  <si>
    <t>Juniors 20-23 (22.03.1995)/23</t>
  </si>
  <si>
    <t>Дупенко Степан</t>
  </si>
  <si>
    <t>Open (05.02.1989)/29</t>
  </si>
  <si>
    <t>81,3</t>
  </si>
  <si>
    <t>215,0</t>
  </si>
  <si>
    <t>Торчин Сергей</t>
  </si>
  <si>
    <t>Open (11.03.1984)/34</t>
  </si>
  <si>
    <t>78,9</t>
  </si>
  <si>
    <t>187,5</t>
  </si>
  <si>
    <t>187.50</t>
  </si>
  <si>
    <t>Шереметьев Дмитрий</t>
  </si>
  <si>
    <t>Open (08.07.1982)/36</t>
  </si>
  <si>
    <t>87,0</t>
  </si>
  <si>
    <t>222,5</t>
  </si>
  <si>
    <t>222.50</t>
  </si>
  <si>
    <t>Корниленко Александр</t>
  </si>
  <si>
    <t>Masters 40-44 (27.09.1975)/43</t>
  </si>
  <si>
    <t>87,9</t>
  </si>
  <si>
    <t>Хованец Игорь</t>
  </si>
  <si>
    <t>Masters 60-64 (07.01.1957)/61</t>
  </si>
  <si>
    <t>87,6</t>
  </si>
  <si>
    <t>Жуков Михаил</t>
  </si>
  <si>
    <t>Open (26.02.1987)/31</t>
  </si>
  <si>
    <t>98,5</t>
  </si>
  <si>
    <t>250,0</t>
  </si>
  <si>
    <t>280,0</t>
  </si>
  <si>
    <t>250.00</t>
  </si>
  <si>
    <t>220,0</t>
  </si>
  <si>
    <t>215.00</t>
  </si>
  <si>
    <t>Абакумов Кирилл</t>
  </si>
  <si>
    <t>Juniors 20-23 (12.11.1994)/24</t>
  </si>
  <si>
    <t>108,0</t>
  </si>
  <si>
    <t xml:space="preserve">Мичуринск/Тамбовская область </t>
  </si>
  <si>
    <t>114,4</t>
  </si>
  <si>
    <t>240.00</t>
  </si>
  <si>
    <t>Колмаков Юрий</t>
  </si>
  <si>
    <t>Open (06.05.1983)/35</t>
  </si>
  <si>
    <t>118,3</t>
  </si>
  <si>
    <t>315,0</t>
  </si>
  <si>
    <t>315.00</t>
  </si>
  <si>
    <t>Лукьянов Сергей</t>
  </si>
  <si>
    <t>Masters 60-64 (25.10.1955)/63</t>
  </si>
  <si>
    <t>115,7</t>
  </si>
  <si>
    <t xml:space="preserve">Юноши 18 - 19 </t>
  </si>
  <si>
    <t>81,7740</t>
  </si>
  <si>
    <t>113,4915</t>
  </si>
  <si>
    <t>106,2052</t>
  </si>
  <si>
    <t>104,0500</t>
  </si>
  <si>
    <t>74,9000</t>
  </si>
  <si>
    <t>74,2730</t>
  </si>
  <si>
    <t>70,6860</t>
  </si>
  <si>
    <t>83,6533</t>
  </si>
  <si>
    <t>127,6560</t>
  </si>
  <si>
    <t>119,9280</t>
  </si>
  <si>
    <t>113,2110</t>
  </si>
  <si>
    <t>166,4775</t>
  </si>
  <si>
    <t>139,4500</t>
  </si>
  <si>
    <t>137,9020</t>
  </si>
  <si>
    <t>135,6952</t>
  </si>
  <si>
    <t>133,0105</t>
  </si>
  <si>
    <t>126,7042</t>
  </si>
  <si>
    <t>119,8875</t>
  </si>
  <si>
    <t>158,3642</t>
  </si>
  <si>
    <t>149,2464</t>
  </si>
  <si>
    <t>121,6022</t>
  </si>
  <si>
    <t>121,3471</t>
  </si>
  <si>
    <t>Открытый чемпионат Москвы                                                                                Становая тяга AWPA стандартная экипировка
29 Июля 2018</t>
  </si>
  <si>
    <t>Енина Елена</t>
  </si>
  <si>
    <t>Open (10.05.1989)/29</t>
  </si>
  <si>
    <t>51,7</t>
  </si>
  <si>
    <t xml:space="preserve">Курск/Курская область </t>
  </si>
  <si>
    <t xml:space="preserve">Умеренков </t>
  </si>
  <si>
    <t>150,8305</t>
  </si>
  <si>
    <t>Открытый чемпионат Москвы                                                                                                                                      пауэрлифтинг WPA без экипировки
29 Июля 2018</t>
  </si>
  <si>
    <t>Бычкова Анастасия</t>
  </si>
  <si>
    <t>Teen 16-17 (05.11.2001)/17</t>
  </si>
  <si>
    <t>Жиленко Зураб</t>
  </si>
  <si>
    <t>Open (02.04.1990)/28</t>
  </si>
  <si>
    <t>86,4</t>
  </si>
  <si>
    <t>545.00</t>
  </si>
  <si>
    <t xml:space="preserve">Юноши 16 - 17 </t>
  </si>
  <si>
    <t>195,8650</t>
  </si>
  <si>
    <t>545,0</t>
  </si>
  <si>
    <t>327,2180</t>
  </si>
  <si>
    <t>Открытый чемпионат Москвы                                                                                                                                                           жим лежа WPA без экипировки
29 Июля 2018</t>
  </si>
  <si>
    <t>Барышев Дмитрий</t>
  </si>
  <si>
    <t>Juniors 20-23 (09.01.1997)/21</t>
  </si>
  <si>
    <t>67,4</t>
  </si>
  <si>
    <t>Айрапетян Дмитрий</t>
  </si>
  <si>
    <t>Open (25.10.1987)/31</t>
  </si>
  <si>
    <t>73,6</t>
  </si>
  <si>
    <t>Аксенчик Вадим</t>
  </si>
  <si>
    <t>Open (26.05.1982)/36</t>
  </si>
  <si>
    <t xml:space="preserve">Минск/Минская область </t>
  </si>
  <si>
    <t>182,5</t>
  </si>
  <si>
    <t>182.50</t>
  </si>
  <si>
    <t>Армашов Алексей</t>
  </si>
  <si>
    <t>Open (14.11.1988)/30</t>
  </si>
  <si>
    <t>83,2</t>
  </si>
  <si>
    <t xml:space="preserve">Железнодорожный/Московская область </t>
  </si>
  <si>
    <t>135.00</t>
  </si>
  <si>
    <t>Уветов Владимир</t>
  </si>
  <si>
    <t>Open (12.04.1979)/39</t>
  </si>
  <si>
    <t>98,1</t>
  </si>
  <si>
    <t>Белов Антон</t>
  </si>
  <si>
    <t>Open (24.03.1985)/33</t>
  </si>
  <si>
    <t>97,0</t>
  </si>
  <si>
    <t>Снежков Илья</t>
  </si>
  <si>
    <t>Open (06.12.1989)/29</t>
  </si>
  <si>
    <t>98,2</t>
  </si>
  <si>
    <t>Кулагин Дмитрий</t>
  </si>
  <si>
    <t>Open (07.06.1989)/29</t>
  </si>
  <si>
    <t>98,7</t>
  </si>
  <si>
    <t>Цуцкиридзе Нодар</t>
  </si>
  <si>
    <t>Masters 40-44 (14.09.1976)/42</t>
  </si>
  <si>
    <t xml:space="preserve">Ржев/Тверская область </t>
  </si>
  <si>
    <t>180.00</t>
  </si>
  <si>
    <t>Новожилов Алексей</t>
  </si>
  <si>
    <t>Masters 45-49 (28.03.1972)/46</t>
  </si>
  <si>
    <t>99,5</t>
  </si>
  <si>
    <t>Баландин Евгений</t>
  </si>
  <si>
    <t>Teen 18-19 (12.07.1999)/19</t>
  </si>
  <si>
    <t>104,5</t>
  </si>
  <si>
    <t xml:space="preserve">Пушкино/Московская область </t>
  </si>
  <si>
    <t>Медведев Дмитрий</t>
  </si>
  <si>
    <t>Juniors 20-23 (16.03.1996)/22</t>
  </si>
  <si>
    <t>107,6</t>
  </si>
  <si>
    <t xml:space="preserve">Аксенов А.Д. </t>
  </si>
  <si>
    <t>Венин Сергей</t>
  </si>
  <si>
    <t>Open (23.05.1985)/33</t>
  </si>
  <si>
    <t>108,2</t>
  </si>
  <si>
    <t>197,5</t>
  </si>
  <si>
    <t>Николаев Михаил</t>
  </si>
  <si>
    <t>Open (27.05.1961)/57</t>
  </si>
  <si>
    <t>124,0</t>
  </si>
  <si>
    <t>Masters 55-59 (27.05.1961)/57</t>
  </si>
  <si>
    <t>73,5210</t>
  </si>
  <si>
    <t>87,2160</t>
  </si>
  <si>
    <t>71,4970</t>
  </si>
  <si>
    <t>120,1635</t>
  </si>
  <si>
    <t>115,1895</t>
  </si>
  <si>
    <t>114,5130</t>
  </si>
  <si>
    <t>108,3868</t>
  </si>
  <si>
    <t>102,3720</t>
  </si>
  <si>
    <t>94,4300</t>
  </si>
  <si>
    <t>83,1195</t>
  </si>
  <si>
    <t>100,0192</t>
  </si>
  <si>
    <t>94,9785</t>
  </si>
  <si>
    <t>Открытый чемпионат Москвы                                                                                     становая тяг WPA без экипировки
29 Июля 2019</t>
  </si>
  <si>
    <t>Амельченков Павел</t>
  </si>
  <si>
    <t>Open (24.02.1984)/34</t>
  </si>
  <si>
    <t>78,8</t>
  </si>
  <si>
    <t>225,0</t>
  </si>
  <si>
    <t>230.00</t>
  </si>
  <si>
    <t>Кучерявенков Алексей</t>
  </si>
  <si>
    <t>Open (21.04.1981)/37</t>
  </si>
  <si>
    <t>119,3</t>
  </si>
  <si>
    <t xml:space="preserve">Дмитров/Московская область </t>
  </si>
  <si>
    <t>245,0</t>
  </si>
  <si>
    <t>257,5</t>
  </si>
  <si>
    <t>245.00</t>
  </si>
  <si>
    <t>142,3778</t>
  </si>
  <si>
    <t>141,6110</t>
  </si>
  <si>
    <t>129,2620</t>
  </si>
  <si>
    <t>Открытый чемпионат Москвы                                                                                                                                      пауэрлифтинг WPA стандартная экипировка
29 Июля 2018</t>
  </si>
  <si>
    <t>Логинов Дмитрий</t>
  </si>
  <si>
    <t>121,2</t>
  </si>
  <si>
    <t>0,5258</t>
  </si>
  <si>
    <t>Тверь/Тверская область</t>
  </si>
  <si>
    <t>350</t>
  </si>
  <si>
    <t>370</t>
  </si>
  <si>
    <t>235</t>
  </si>
  <si>
    <t>245</t>
  </si>
  <si>
    <t>252,5</t>
  </si>
  <si>
    <t>340</t>
  </si>
  <si>
    <t>375</t>
  </si>
  <si>
    <t>952,5</t>
  </si>
  <si>
    <t>523,589</t>
  </si>
  <si>
    <t>125</t>
  </si>
  <si>
    <t>Оpen (12.05.1989)/29</t>
  </si>
  <si>
    <t>-</t>
  </si>
  <si>
    <t>Открытый чемпионат Москвы                                                                                                   AWPC жим лежа в  стандартной софт экипировке
29 Июля 2018</t>
  </si>
  <si>
    <t>Добрынин Юрий</t>
  </si>
  <si>
    <t>Masters 45-49 (13.02.1971)/47</t>
  </si>
  <si>
    <t>72,9</t>
  </si>
  <si>
    <t>Бабенков Андрей</t>
  </si>
  <si>
    <t>Open (16.07.1991)/27</t>
  </si>
  <si>
    <t>85,7</t>
  </si>
  <si>
    <t>Хованец Сергей</t>
  </si>
  <si>
    <t>Open (13.03.1985)/33</t>
  </si>
  <si>
    <t>85,6</t>
  </si>
  <si>
    <t>Макушин Кирилл</t>
  </si>
  <si>
    <t>Open (10.08.1986)/32</t>
  </si>
  <si>
    <t>86,9</t>
  </si>
  <si>
    <t xml:space="preserve">Электросталь/Московская область </t>
  </si>
  <si>
    <t>Котов Виктор</t>
  </si>
  <si>
    <t>Open (10.10.1989)/29</t>
  </si>
  <si>
    <t>123,6</t>
  </si>
  <si>
    <t>260,0</t>
  </si>
  <si>
    <t>265,0</t>
  </si>
  <si>
    <t>260.00</t>
  </si>
  <si>
    <t>142,2460</t>
  </si>
  <si>
    <t>135,3318</t>
  </si>
  <si>
    <t>112,6640</t>
  </si>
  <si>
    <t>121,7726</t>
  </si>
  <si>
    <t>Открытый чемпионат Москвы                                                                                                     AWPC народный жим (1 вес)
29 Июля 2018</t>
  </si>
  <si>
    <t>Год. р.
Возр груп</t>
  </si>
  <si>
    <t>Вес</t>
  </si>
  <si>
    <t>Кол-во</t>
  </si>
  <si>
    <t>Егоров Александр</t>
  </si>
  <si>
    <t>Open (21.03.1983)/35</t>
  </si>
  <si>
    <t>68,80</t>
  </si>
  <si>
    <t xml:space="preserve">Луховицы/Московская область </t>
  </si>
  <si>
    <t>43,0</t>
  </si>
  <si>
    <t>3010.00</t>
  </si>
  <si>
    <t>72,80</t>
  </si>
  <si>
    <t>29,0</t>
  </si>
  <si>
    <t>2175.00</t>
  </si>
  <si>
    <t>Демчук Виталий</t>
  </si>
  <si>
    <t>Open (24.01.1986)/32</t>
  </si>
  <si>
    <t>25,0</t>
  </si>
  <si>
    <t>1750.00</t>
  </si>
  <si>
    <t>Жаворонкин Сергей</t>
  </si>
  <si>
    <t>Juniors 20-23 (08.02.1998)/20</t>
  </si>
  <si>
    <t>78,90</t>
  </si>
  <si>
    <t>21,0</t>
  </si>
  <si>
    <t>1680.00</t>
  </si>
  <si>
    <t>Толпекин Дмитрий</t>
  </si>
  <si>
    <t>Open (01.12.1982)/36</t>
  </si>
  <si>
    <t>81,50</t>
  </si>
  <si>
    <t>31,0</t>
  </si>
  <si>
    <t>2557.50</t>
  </si>
  <si>
    <t>80,30</t>
  </si>
  <si>
    <t>19,0</t>
  </si>
  <si>
    <t>1567.50</t>
  </si>
  <si>
    <t>Ховалкин Сергей</t>
  </si>
  <si>
    <t>Open (21.03.1993)/25</t>
  </si>
  <si>
    <t>84,40</t>
  </si>
  <si>
    <t>30,0</t>
  </si>
  <si>
    <t>2550.00</t>
  </si>
  <si>
    <t>87,00</t>
  </si>
  <si>
    <t>26,0</t>
  </si>
  <si>
    <t>2275.00</t>
  </si>
  <si>
    <t>Тафара Стефан</t>
  </si>
  <si>
    <t>Open (21.08.1986)/32</t>
  </si>
  <si>
    <t>89,40</t>
  </si>
  <si>
    <t>Джураев Отабек</t>
  </si>
  <si>
    <t>Open (26.07.1985)/33</t>
  </si>
  <si>
    <t>99,50</t>
  </si>
  <si>
    <t xml:space="preserve">Самаркан </t>
  </si>
  <si>
    <t>2500.00</t>
  </si>
  <si>
    <t>93,20</t>
  </si>
  <si>
    <t>15,0</t>
  </si>
  <si>
    <t>1425.00</t>
  </si>
  <si>
    <t>Гамаев Александр</t>
  </si>
  <si>
    <t>Open (06.02.1983)/35</t>
  </si>
  <si>
    <t>91,90</t>
  </si>
  <si>
    <t>14,0</t>
  </si>
  <si>
    <t>1295.00</t>
  </si>
  <si>
    <t>1680,0</t>
  </si>
  <si>
    <t>1115,6880</t>
  </si>
  <si>
    <t>3010,0</t>
  </si>
  <si>
    <t>2217,1659</t>
  </si>
  <si>
    <t>2557,5</t>
  </si>
  <si>
    <t>1661,7356</t>
  </si>
  <si>
    <t>2550,0</t>
  </si>
  <si>
    <t>1620,2700</t>
  </si>
  <si>
    <t>2175,0</t>
  </si>
  <si>
    <t>1531,5263</t>
  </si>
  <si>
    <t>2500,0</t>
  </si>
  <si>
    <t>1456,3750</t>
  </si>
  <si>
    <t>2275,0</t>
  </si>
  <si>
    <t>1419,2587</t>
  </si>
  <si>
    <t>1750,0</t>
  </si>
  <si>
    <t>1289,0500</t>
  </si>
  <si>
    <t>1567,5</t>
  </si>
  <si>
    <t>1028,5151</t>
  </si>
  <si>
    <t>1425,0</t>
  </si>
  <si>
    <t>855,9263</t>
  </si>
  <si>
    <t>1295,0</t>
  </si>
  <si>
    <t>783,4750</t>
  </si>
  <si>
    <t>Открытый чемпионат Москвы                                                                                  WPC жим лежа в стандартной софт экипировке
29 Июля 2018</t>
  </si>
  <si>
    <t>Тукаев Антон</t>
  </si>
  <si>
    <t>Open (03.07.1990)/28</t>
  </si>
  <si>
    <t>76,8</t>
  </si>
  <si>
    <t xml:space="preserve">Могилев </t>
  </si>
  <si>
    <t>Бартенев Алексей</t>
  </si>
  <si>
    <t>Masters 40-44 (31.03.1975)/43</t>
  </si>
  <si>
    <t>80,4</t>
  </si>
  <si>
    <t xml:space="preserve">Сафоново/Смоленская область </t>
  </si>
  <si>
    <t>272,5</t>
  </si>
  <si>
    <t>272.50</t>
  </si>
  <si>
    <t>Кориков Юрий</t>
  </si>
  <si>
    <t>Masters 55-59 (24.04.1962)/56</t>
  </si>
  <si>
    <t>81,4</t>
  </si>
  <si>
    <t xml:space="preserve">Томск/Томская область </t>
  </si>
  <si>
    <t>Захаров Сергей</t>
  </si>
  <si>
    <t>Open (20.03.1991)/27</t>
  </si>
  <si>
    <t>106,3</t>
  </si>
  <si>
    <t>142,0750</t>
  </si>
  <si>
    <t>184,2032</t>
  </si>
  <si>
    <t>Открытый чемпионат Москвы                                                                                                      WPC народный жим (1 вес)
29 Июля 2018</t>
  </si>
  <si>
    <t>Комраков Никита</t>
  </si>
  <si>
    <t>Juniors 20-23 (23.06.1995)/23</t>
  </si>
  <si>
    <t xml:space="preserve">Рязань/Рязанская область </t>
  </si>
  <si>
    <t>27,0</t>
  </si>
  <si>
    <t>2430.00</t>
  </si>
  <si>
    <t>Кругликов Алексей</t>
  </si>
  <si>
    <t>Open (02.06.1981)/37</t>
  </si>
  <si>
    <t>83,8</t>
  </si>
  <si>
    <t>2465.00</t>
  </si>
  <si>
    <t>Галицин Геннадий</t>
  </si>
  <si>
    <t>Open (15.04.1985)/33</t>
  </si>
  <si>
    <t>90,6</t>
  </si>
  <si>
    <t>41,0</t>
  </si>
  <si>
    <t>3792.50</t>
  </si>
  <si>
    <t>Ижиков Филипп</t>
  </si>
  <si>
    <t>Open (30.10.1975)/43</t>
  </si>
  <si>
    <t>3022.50</t>
  </si>
  <si>
    <t>33,0</t>
  </si>
  <si>
    <t>3300.00</t>
  </si>
  <si>
    <t>17,0</t>
  </si>
  <si>
    <t>1700.00</t>
  </si>
  <si>
    <t>Данников Юрий</t>
  </si>
  <si>
    <t>Open (04.12.1974)/44</t>
  </si>
  <si>
    <t>111,9</t>
  </si>
  <si>
    <t xml:space="preserve">Шебекино/Белгородская область </t>
  </si>
  <si>
    <t>112,5</t>
  </si>
  <si>
    <t>36,0</t>
  </si>
  <si>
    <t>4050.00</t>
  </si>
  <si>
    <t>Masters 40-44 (04.12.1974)/44</t>
  </si>
  <si>
    <t>2430,0</t>
  </si>
  <si>
    <t>1501,0110</t>
  </si>
  <si>
    <t>3792,5</t>
  </si>
  <si>
    <t>2312,0977</t>
  </si>
  <si>
    <t>4050,0</t>
  </si>
  <si>
    <t>2267,5949</t>
  </si>
  <si>
    <t>3022,5</t>
  </si>
  <si>
    <t>1776,4744</t>
  </si>
  <si>
    <t>2465,0</t>
  </si>
  <si>
    <t>1573,1630</t>
  </si>
  <si>
    <t>2337,8904</t>
  </si>
  <si>
    <t>3300,0</t>
  </si>
  <si>
    <t>1937,4730</t>
  </si>
  <si>
    <t>1700,0</t>
  </si>
  <si>
    <t>1057,6778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</si>
</sst>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_р_._-;\-* #,##0.0_р_._-;_-* &quot;-&quot;??_р_._-;_-@_-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181" fontId="0" fillId="0" borderId="11" xfId="58" applyNumberFormat="1" applyFont="1" applyFill="1" applyBorder="1" applyAlignment="1">
      <alignment horizontal="center"/>
    </xf>
    <xf numFmtId="181" fontId="0" fillId="0" borderId="12" xfId="58" applyNumberFormat="1" applyFont="1" applyFill="1" applyBorder="1" applyAlignment="1">
      <alignment horizontal="center"/>
    </xf>
    <xf numFmtId="181" fontId="0" fillId="0" borderId="13" xfId="58" applyNumberFormat="1" applyFont="1" applyFill="1" applyBorder="1" applyAlignment="1">
      <alignment horizontal="center"/>
    </xf>
    <xf numFmtId="181" fontId="0" fillId="0" borderId="14" xfId="58" applyNumberFormat="1" applyFont="1" applyFill="1" applyBorder="1" applyAlignment="1">
      <alignment horizontal="center"/>
    </xf>
    <xf numFmtId="181" fontId="0" fillId="0" borderId="0" xfId="58" applyNumberFormat="1" applyFont="1" applyFill="1" applyBorder="1" applyAlignment="1">
      <alignment horizontal="center"/>
    </xf>
    <xf numFmtId="181" fontId="3" fillId="0" borderId="11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181" fontId="3" fillId="0" borderId="15" xfId="58" applyNumberFormat="1" applyFont="1" applyFill="1" applyBorder="1" applyAlignment="1">
      <alignment horizontal="center" vertical="center"/>
    </xf>
    <xf numFmtId="181" fontId="3" fillId="0" borderId="10" xfId="58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72;&#1090;%20&#1052;&#1086;&#1089;&#1082;&#1074;&#1099;%20WPC%20AWP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pc bp soft eq st"/>
      <sheetName val="awpc нар жим"/>
      <sheetName val="wpc bp soft eq st"/>
      <sheetName val="wpc нар жи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PageLayoutView="0" workbookViewId="0" topLeftCell="A1">
      <selection activeCell="A36" sqref="A36"/>
    </sheetView>
  </sheetViews>
  <sheetFormatPr defaultColWidth="9.125" defaultRowHeight="12.75"/>
  <cols>
    <col min="1" max="1" width="28.375" style="4" bestFit="1" customWidth="1"/>
    <col min="2" max="2" width="30.875" style="1" bestFit="1" customWidth="1"/>
    <col min="3" max="3" width="10.50390625" style="35" bestFit="1" customWidth="1"/>
    <col min="4" max="4" width="8.50390625" style="1" bestFit="1" customWidth="1"/>
    <col min="5" max="5" width="22.625" style="5" bestFit="1" customWidth="1"/>
    <col min="6" max="6" width="29.50390625" style="5" bestFit="1" customWidth="1"/>
    <col min="7" max="9" width="5.50390625" style="1" bestFit="1" customWidth="1"/>
    <col min="10" max="10" width="4.50390625" style="1" bestFit="1" customWidth="1"/>
    <col min="11" max="13" width="5.50390625" style="1" bestFit="1" customWidth="1"/>
    <col min="14" max="14" width="4.50390625" style="1" bestFit="1" customWidth="1"/>
    <col min="15" max="17" width="5.50390625" style="1" bestFit="1" customWidth="1"/>
    <col min="18" max="18" width="4.50390625" style="1" bestFit="1" customWidth="1"/>
    <col min="19" max="19" width="7.875" style="4" bestFit="1" customWidth="1"/>
    <col min="20" max="20" width="8.50390625" style="1" bestFit="1" customWidth="1"/>
    <col min="21" max="21" width="8.875" style="5" bestFit="1" customWidth="1"/>
    <col min="22" max="16384" width="9.125" style="1" customWidth="1"/>
  </cols>
  <sheetData>
    <row r="1" spans="1:21" ht="15" customHeight="1">
      <c r="A1" s="42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12</v>
      </c>
      <c r="C3" s="51" t="s">
        <v>5</v>
      </c>
      <c r="D3" s="38" t="s">
        <v>10</v>
      </c>
      <c r="E3" s="38" t="s">
        <v>8</v>
      </c>
      <c r="F3" s="38" t="s">
        <v>11</v>
      </c>
      <c r="G3" s="38" t="s">
        <v>1</v>
      </c>
      <c r="H3" s="38"/>
      <c r="I3" s="38"/>
      <c r="J3" s="38"/>
      <c r="K3" s="38" t="s">
        <v>2</v>
      </c>
      <c r="L3" s="38"/>
      <c r="M3" s="38"/>
      <c r="N3" s="38"/>
      <c r="O3" s="38" t="s">
        <v>3</v>
      </c>
      <c r="P3" s="38"/>
      <c r="Q3" s="38"/>
      <c r="R3" s="38"/>
      <c r="S3" s="38" t="s">
        <v>4</v>
      </c>
      <c r="T3" s="38" t="s">
        <v>7</v>
      </c>
      <c r="U3" s="53" t="s">
        <v>6</v>
      </c>
    </row>
    <row r="4" spans="1:21" s="2" customFormat="1" ht="21" customHeight="1" thickBot="1">
      <c r="A4" s="49"/>
      <c r="B4" s="39"/>
      <c r="C4" s="52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39"/>
      <c r="T4" s="39"/>
      <c r="U4" s="54"/>
    </row>
    <row r="5" spans="1:20" ht="15">
      <c r="A5" s="55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2.75">
      <c r="A6" s="6" t="s">
        <v>14</v>
      </c>
      <c r="B6" s="7" t="s">
        <v>15</v>
      </c>
      <c r="C6" s="31">
        <v>47.6</v>
      </c>
      <c r="D6" s="7" t="str">
        <f>"1,1362"</f>
        <v>1,1362</v>
      </c>
      <c r="E6" s="8" t="s">
        <v>16</v>
      </c>
      <c r="F6" s="8" t="s">
        <v>17</v>
      </c>
      <c r="G6" s="9" t="s">
        <v>18</v>
      </c>
      <c r="H6" s="7" t="s">
        <v>18</v>
      </c>
      <c r="I6" s="7" t="s">
        <v>19</v>
      </c>
      <c r="J6" s="9"/>
      <c r="K6" s="7" t="s">
        <v>20</v>
      </c>
      <c r="L6" s="7" t="s">
        <v>21</v>
      </c>
      <c r="M6" s="9" t="s">
        <v>22</v>
      </c>
      <c r="N6" s="9"/>
      <c r="O6" s="7" t="s">
        <v>23</v>
      </c>
      <c r="P6" s="7" t="s">
        <v>24</v>
      </c>
      <c r="Q6" s="9" t="s">
        <v>25</v>
      </c>
      <c r="R6" s="9"/>
      <c r="S6" s="6" t="s">
        <v>26</v>
      </c>
      <c r="T6" s="7" t="str">
        <f>"238,6075"</f>
        <v>238,6075</v>
      </c>
      <c r="U6" s="8" t="s">
        <v>27</v>
      </c>
    </row>
    <row r="8" spans="1:20" ht="15">
      <c r="A8" s="40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2.75">
      <c r="A9" s="6" t="s">
        <v>29</v>
      </c>
      <c r="B9" s="7" t="s">
        <v>30</v>
      </c>
      <c r="C9" s="31">
        <v>52.1</v>
      </c>
      <c r="D9" s="7" t="str">
        <f>"0,9670"</f>
        <v>0,9670</v>
      </c>
      <c r="E9" s="8" t="s">
        <v>31</v>
      </c>
      <c r="F9" s="8" t="s">
        <v>32</v>
      </c>
      <c r="G9" s="7" t="s">
        <v>33</v>
      </c>
      <c r="H9" s="7" t="s">
        <v>34</v>
      </c>
      <c r="I9" s="9" t="s">
        <v>24</v>
      </c>
      <c r="J9" s="9"/>
      <c r="K9" s="7" t="s">
        <v>22</v>
      </c>
      <c r="L9" s="7" t="s">
        <v>35</v>
      </c>
      <c r="M9" s="7" t="s">
        <v>36</v>
      </c>
      <c r="N9" s="9"/>
      <c r="O9" s="7" t="s">
        <v>24</v>
      </c>
      <c r="P9" s="9" t="s">
        <v>25</v>
      </c>
      <c r="Q9" s="7" t="s">
        <v>25</v>
      </c>
      <c r="R9" s="9"/>
      <c r="S9" s="6" t="s">
        <v>37</v>
      </c>
      <c r="T9" s="7" t="str">
        <f>"234,4975"</f>
        <v>234,4975</v>
      </c>
      <c r="U9" s="8" t="s">
        <v>27</v>
      </c>
    </row>
    <row r="11" spans="1:20" ht="15">
      <c r="A11" s="40" t="s">
        <v>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 ht="12.75">
      <c r="A12" s="6" t="s">
        <v>39</v>
      </c>
      <c r="B12" s="7" t="s">
        <v>40</v>
      </c>
      <c r="C12" s="31">
        <v>58.9</v>
      </c>
      <c r="D12" s="7" t="str">
        <f>"0,8738"</f>
        <v>0,8738</v>
      </c>
      <c r="E12" s="8" t="s">
        <v>31</v>
      </c>
      <c r="F12" s="8" t="s">
        <v>41</v>
      </c>
      <c r="G12" s="7" t="s">
        <v>18</v>
      </c>
      <c r="H12" s="7" t="s">
        <v>19</v>
      </c>
      <c r="I12" s="7" t="s">
        <v>42</v>
      </c>
      <c r="J12" s="9"/>
      <c r="K12" s="7" t="s">
        <v>43</v>
      </c>
      <c r="L12" s="7" t="s">
        <v>21</v>
      </c>
      <c r="M12" s="7" t="s">
        <v>22</v>
      </c>
      <c r="N12" s="9"/>
      <c r="O12" s="7" t="s">
        <v>33</v>
      </c>
      <c r="P12" s="7" t="s">
        <v>44</v>
      </c>
      <c r="Q12" s="9" t="s">
        <v>34</v>
      </c>
      <c r="R12" s="9"/>
      <c r="S12" s="6" t="s">
        <v>45</v>
      </c>
      <c r="T12" s="7" t="str">
        <f>"181,3135"</f>
        <v>181,3135</v>
      </c>
      <c r="U12" s="8" t="s">
        <v>27</v>
      </c>
    </row>
    <row r="14" spans="1:20" ht="15">
      <c r="A14" s="40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1" ht="12.75">
      <c r="A15" s="6" t="s">
        <v>47</v>
      </c>
      <c r="B15" s="7" t="s">
        <v>48</v>
      </c>
      <c r="C15" s="31">
        <v>67.1</v>
      </c>
      <c r="D15" s="7" t="str">
        <f>"0,7827"</f>
        <v>0,7827</v>
      </c>
      <c r="E15" s="8" t="s">
        <v>31</v>
      </c>
      <c r="F15" s="8" t="s">
        <v>17</v>
      </c>
      <c r="G15" s="7" t="s">
        <v>49</v>
      </c>
      <c r="H15" s="7" t="s">
        <v>50</v>
      </c>
      <c r="I15" s="7" t="s">
        <v>51</v>
      </c>
      <c r="J15" s="9"/>
      <c r="K15" s="7" t="s">
        <v>18</v>
      </c>
      <c r="L15" s="7" t="s">
        <v>52</v>
      </c>
      <c r="M15" s="7" t="s">
        <v>19</v>
      </c>
      <c r="N15" s="9"/>
      <c r="O15" s="9" t="s">
        <v>50</v>
      </c>
      <c r="P15" s="9" t="s">
        <v>51</v>
      </c>
      <c r="Q15" s="7" t="s">
        <v>51</v>
      </c>
      <c r="R15" s="9"/>
      <c r="S15" s="6" t="s">
        <v>53</v>
      </c>
      <c r="T15" s="7" t="str">
        <f>"234,8100"</f>
        <v>234,8100</v>
      </c>
      <c r="U15" s="8" t="s">
        <v>27</v>
      </c>
    </row>
    <row r="17" spans="1:20" ht="15">
      <c r="A17" s="40" t="s">
        <v>54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1" ht="12.75">
      <c r="A18" s="6" t="s">
        <v>55</v>
      </c>
      <c r="B18" s="7" t="s">
        <v>56</v>
      </c>
      <c r="C18" s="31">
        <v>68.5</v>
      </c>
      <c r="D18" s="7" t="str">
        <f>"0,7164"</f>
        <v>0,7164</v>
      </c>
      <c r="E18" s="8" t="s">
        <v>16</v>
      </c>
      <c r="F18" s="8" t="s">
        <v>17</v>
      </c>
      <c r="G18" s="9" t="s">
        <v>57</v>
      </c>
      <c r="H18" s="9" t="s">
        <v>57</v>
      </c>
      <c r="I18" s="9" t="s">
        <v>57</v>
      </c>
      <c r="J18" s="9"/>
      <c r="K18" s="9" t="s">
        <v>25</v>
      </c>
      <c r="L18" s="9"/>
      <c r="M18" s="9"/>
      <c r="N18" s="9"/>
      <c r="O18" s="9" t="s">
        <v>58</v>
      </c>
      <c r="P18" s="9"/>
      <c r="Q18" s="9"/>
      <c r="R18" s="9"/>
      <c r="S18" s="6" t="s">
        <v>59</v>
      </c>
      <c r="T18" s="7" t="str">
        <f>"0,0000"</f>
        <v>0,0000</v>
      </c>
      <c r="U18" s="8" t="s">
        <v>27</v>
      </c>
    </row>
    <row r="20" spans="1:20" ht="15">
      <c r="A20" s="40" t="s">
        <v>60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1" ht="12.75">
      <c r="A21" s="6" t="s">
        <v>61</v>
      </c>
      <c r="B21" s="7" t="s">
        <v>62</v>
      </c>
      <c r="C21" s="31">
        <v>80.8</v>
      </c>
      <c r="D21" s="7" t="str">
        <f>"0,6284"</f>
        <v>0,6284</v>
      </c>
      <c r="E21" s="8" t="s">
        <v>16</v>
      </c>
      <c r="F21" s="8" t="s">
        <v>17</v>
      </c>
      <c r="G21" s="7" t="s">
        <v>63</v>
      </c>
      <c r="H21" s="9" t="s">
        <v>64</v>
      </c>
      <c r="I21" s="7" t="s">
        <v>65</v>
      </c>
      <c r="J21" s="9"/>
      <c r="K21" s="7" t="s">
        <v>66</v>
      </c>
      <c r="L21" s="9" t="s">
        <v>67</v>
      </c>
      <c r="M21" s="9" t="s">
        <v>67</v>
      </c>
      <c r="N21" s="9"/>
      <c r="O21" s="7" t="s">
        <v>68</v>
      </c>
      <c r="P21" s="7" t="s">
        <v>69</v>
      </c>
      <c r="Q21" s="7" t="s">
        <v>57</v>
      </c>
      <c r="R21" s="9"/>
      <c r="S21" s="6" t="s">
        <v>70</v>
      </c>
      <c r="T21" s="7" t="str">
        <f>"227,7950"</f>
        <v>227,7950</v>
      </c>
      <c r="U21" s="8" t="s">
        <v>27</v>
      </c>
    </row>
    <row r="23" spans="1:20" ht="15">
      <c r="A23" s="40" t="s">
        <v>71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1" ht="12.75">
      <c r="A24" s="6" t="s">
        <v>72</v>
      </c>
      <c r="B24" s="7" t="s">
        <v>73</v>
      </c>
      <c r="C24" s="31">
        <v>86.7</v>
      </c>
      <c r="D24" s="7" t="str">
        <f>"0,5991"</f>
        <v>0,5991</v>
      </c>
      <c r="E24" s="8" t="s">
        <v>31</v>
      </c>
      <c r="F24" s="8" t="s">
        <v>17</v>
      </c>
      <c r="G24" s="7" t="s">
        <v>74</v>
      </c>
      <c r="H24" s="9" t="s">
        <v>75</v>
      </c>
      <c r="I24" s="7" t="s">
        <v>76</v>
      </c>
      <c r="J24" s="9"/>
      <c r="K24" s="7" t="s">
        <v>51</v>
      </c>
      <c r="L24" s="9" t="s">
        <v>77</v>
      </c>
      <c r="M24" s="9" t="s">
        <v>77</v>
      </c>
      <c r="N24" s="9"/>
      <c r="O24" s="7" t="s">
        <v>74</v>
      </c>
      <c r="P24" s="7" t="s">
        <v>75</v>
      </c>
      <c r="Q24" s="7" t="s">
        <v>78</v>
      </c>
      <c r="R24" s="9"/>
      <c r="S24" s="6" t="s">
        <v>79</v>
      </c>
      <c r="T24" s="7" t="str">
        <f>"305,5410"</f>
        <v>305,5410</v>
      </c>
      <c r="U24" s="8" t="s">
        <v>27</v>
      </c>
    </row>
    <row r="26" spans="1:20" ht="15">
      <c r="A26" s="40" t="s">
        <v>80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1" ht="12.75">
      <c r="A27" s="6" t="s">
        <v>81</v>
      </c>
      <c r="B27" s="7" t="s">
        <v>82</v>
      </c>
      <c r="C27" s="31">
        <v>96.9</v>
      </c>
      <c r="D27" s="7" t="str">
        <f>"0,5622"</f>
        <v>0,5622</v>
      </c>
      <c r="E27" s="8" t="s">
        <v>83</v>
      </c>
      <c r="F27" s="8" t="s">
        <v>84</v>
      </c>
      <c r="G27" s="9" t="s">
        <v>49</v>
      </c>
      <c r="H27" s="7" t="s">
        <v>49</v>
      </c>
      <c r="I27" s="7" t="s">
        <v>51</v>
      </c>
      <c r="J27" s="9"/>
      <c r="K27" s="7" t="s">
        <v>33</v>
      </c>
      <c r="L27" s="7" t="s">
        <v>44</v>
      </c>
      <c r="M27" s="7" t="s">
        <v>23</v>
      </c>
      <c r="N27" s="9"/>
      <c r="O27" s="7" t="s">
        <v>64</v>
      </c>
      <c r="P27" s="7" t="s">
        <v>68</v>
      </c>
      <c r="Q27" s="7" t="s">
        <v>57</v>
      </c>
      <c r="R27" s="9"/>
      <c r="S27" s="6" t="s">
        <v>85</v>
      </c>
      <c r="T27" s="7" t="str">
        <f>"198,1755"</f>
        <v>198,1755</v>
      </c>
      <c r="U27" s="8" t="s">
        <v>27</v>
      </c>
    </row>
    <row r="29" spans="1:20" ht="15">
      <c r="A29" s="40" t="s">
        <v>86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1" ht="12.75">
      <c r="A30" s="10" t="s">
        <v>87</v>
      </c>
      <c r="B30" s="11" t="s">
        <v>88</v>
      </c>
      <c r="C30" s="32">
        <v>114.4</v>
      </c>
      <c r="D30" s="11" t="str">
        <f>"0,5319"</f>
        <v>0,5319</v>
      </c>
      <c r="E30" s="12" t="s">
        <v>31</v>
      </c>
      <c r="F30" s="12" t="s">
        <v>89</v>
      </c>
      <c r="G30" s="13" t="s">
        <v>90</v>
      </c>
      <c r="H30" s="11" t="s">
        <v>90</v>
      </c>
      <c r="I30" s="13" t="s">
        <v>91</v>
      </c>
      <c r="J30" s="13"/>
      <c r="K30" s="11" t="s">
        <v>92</v>
      </c>
      <c r="L30" s="11" t="s">
        <v>93</v>
      </c>
      <c r="M30" s="13" t="s">
        <v>94</v>
      </c>
      <c r="N30" s="13"/>
      <c r="O30" s="11" t="s">
        <v>90</v>
      </c>
      <c r="P30" s="11" t="s">
        <v>95</v>
      </c>
      <c r="Q30" s="11" t="s">
        <v>91</v>
      </c>
      <c r="R30" s="13"/>
      <c r="S30" s="10" t="s">
        <v>96</v>
      </c>
      <c r="T30" s="11" t="str">
        <f>"335,0970"</f>
        <v>335,0970</v>
      </c>
      <c r="U30" s="12" t="s">
        <v>27</v>
      </c>
    </row>
    <row r="31" spans="1:21" ht="12.75">
      <c r="A31" s="14" t="s">
        <v>87</v>
      </c>
      <c r="B31" s="15" t="s">
        <v>97</v>
      </c>
      <c r="C31" s="33">
        <v>114.4</v>
      </c>
      <c r="D31" s="15" t="str">
        <f>"0,5319"</f>
        <v>0,5319</v>
      </c>
      <c r="E31" s="16" t="s">
        <v>31</v>
      </c>
      <c r="F31" s="16" t="s">
        <v>89</v>
      </c>
      <c r="G31" s="17" t="s">
        <v>90</v>
      </c>
      <c r="H31" s="15" t="s">
        <v>90</v>
      </c>
      <c r="I31" s="17" t="s">
        <v>91</v>
      </c>
      <c r="J31" s="17"/>
      <c r="K31" s="15" t="s">
        <v>92</v>
      </c>
      <c r="L31" s="15" t="s">
        <v>93</v>
      </c>
      <c r="M31" s="17" t="s">
        <v>94</v>
      </c>
      <c r="N31" s="17"/>
      <c r="O31" s="15" t="s">
        <v>90</v>
      </c>
      <c r="P31" s="15" t="s">
        <v>95</v>
      </c>
      <c r="Q31" s="15" t="s">
        <v>91</v>
      </c>
      <c r="R31" s="17"/>
      <c r="S31" s="14" t="s">
        <v>96</v>
      </c>
      <c r="T31" s="15" t="str">
        <f>"335,0970"</f>
        <v>335,0970</v>
      </c>
      <c r="U31" s="16" t="s">
        <v>27</v>
      </c>
    </row>
    <row r="32" spans="1:21" ht="12.75">
      <c r="A32" s="18" t="s">
        <v>98</v>
      </c>
      <c r="B32" s="19" t="s">
        <v>99</v>
      </c>
      <c r="C32" s="34">
        <v>120.2</v>
      </c>
      <c r="D32" s="19" t="str">
        <f>"0,5284"</f>
        <v>0,5284</v>
      </c>
      <c r="E32" s="20" t="s">
        <v>83</v>
      </c>
      <c r="F32" s="20" t="s">
        <v>17</v>
      </c>
      <c r="G32" s="21" t="s">
        <v>33</v>
      </c>
      <c r="H32" s="21" t="s">
        <v>25</v>
      </c>
      <c r="I32" s="19" t="s">
        <v>25</v>
      </c>
      <c r="J32" s="21"/>
      <c r="K32" s="19" t="s">
        <v>33</v>
      </c>
      <c r="L32" s="21" t="s">
        <v>44</v>
      </c>
      <c r="M32" s="19" t="s">
        <v>23</v>
      </c>
      <c r="N32" s="21"/>
      <c r="O32" s="19" t="s">
        <v>25</v>
      </c>
      <c r="P32" s="19" t="s">
        <v>77</v>
      </c>
      <c r="Q32" s="19" t="s">
        <v>68</v>
      </c>
      <c r="R32" s="21"/>
      <c r="S32" s="18" t="s">
        <v>100</v>
      </c>
      <c r="T32" s="19" t="str">
        <f>"173,0446"</f>
        <v>173,0446</v>
      </c>
      <c r="U32" s="20" t="s">
        <v>27</v>
      </c>
    </row>
    <row r="34" ht="15">
      <c r="E34" s="22" t="s">
        <v>101</v>
      </c>
    </row>
    <row r="35" ht="15">
      <c r="E35" s="22" t="s">
        <v>102</v>
      </c>
    </row>
    <row r="36" ht="15">
      <c r="E36" s="22" t="s">
        <v>103</v>
      </c>
    </row>
    <row r="37" ht="15">
      <c r="E37" s="22" t="s">
        <v>104</v>
      </c>
    </row>
    <row r="38" ht="15">
      <c r="E38" s="22" t="s">
        <v>104</v>
      </c>
    </row>
    <row r="39" ht="15">
      <c r="E39" s="22" t="s">
        <v>105</v>
      </c>
    </row>
    <row r="40" ht="15">
      <c r="E40" s="22"/>
    </row>
    <row r="42" spans="1:2" ht="17.25">
      <c r="A42" s="23" t="s">
        <v>106</v>
      </c>
      <c r="B42" s="24"/>
    </row>
    <row r="43" spans="1:2" ht="15">
      <c r="A43" s="25" t="s">
        <v>107</v>
      </c>
      <c r="B43" s="26"/>
    </row>
    <row r="44" spans="1:2" ht="14.25">
      <c r="A44" s="28" t="s">
        <v>108</v>
      </c>
      <c r="B44" s="29"/>
    </row>
    <row r="45" spans="1:5" ht="13.5">
      <c r="A45" s="30" t="s">
        <v>109</v>
      </c>
      <c r="B45" s="30" t="s">
        <v>110</v>
      </c>
      <c r="C45" s="36" t="s">
        <v>111</v>
      </c>
      <c r="D45" s="30" t="s">
        <v>112</v>
      </c>
      <c r="E45" s="30" t="s">
        <v>113</v>
      </c>
    </row>
    <row r="46" spans="1:5" ht="12.75">
      <c r="A46" s="27" t="s">
        <v>47</v>
      </c>
      <c r="B46" s="1" t="s">
        <v>114</v>
      </c>
      <c r="C46" s="35" t="s">
        <v>115</v>
      </c>
      <c r="D46" s="1" t="s">
        <v>116</v>
      </c>
      <c r="E46" s="4" t="s">
        <v>117</v>
      </c>
    </row>
    <row r="47" spans="1:5" ht="12.75">
      <c r="A47" s="27" t="s">
        <v>29</v>
      </c>
      <c r="B47" s="1" t="s">
        <v>114</v>
      </c>
      <c r="C47" s="35" t="s">
        <v>118</v>
      </c>
      <c r="D47" s="1" t="s">
        <v>119</v>
      </c>
      <c r="E47" s="4" t="s">
        <v>120</v>
      </c>
    </row>
    <row r="48" spans="1:5" ht="12.75">
      <c r="A48" s="27" t="s">
        <v>39</v>
      </c>
      <c r="B48" s="1" t="s">
        <v>114</v>
      </c>
      <c r="C48" s="35" t="s">
        <v>121</v>
      </c>
      <c r="D48" s="1" t="s">
        <v>122</v>
      </c>
      <c r="E48" s="4" t="s">
        <v>123</v>
      </c>
    </row>
    <row r="50" spans="1:2" ht="14.25">
      <c r="A50" s="28" t="s">
        <v>124</v>
      </c>
      <c r="B50" s="29"/>
    </row>
    <row r="51" spans="1:5" ht="13.5">
      <c r="A51" s="30" t="s">
        <v>109</v>
      </c>
      <c r="B51" s="30" t="s">
        <v>110</v>
      </c>
      <c r="C51" s="36" t="s">
        <v>111</v>
      </c>
      <c r="D51" s="30" t="s">
        <v>112</v>
      </c>
      <c r="E51" s="30" t="s">
        <v>113</v>
      </c>
    </row>
    <row r="52" spans="1:5" ht="12.75">
      <c r="A52" s="27" t="s">
        <v>14</v>
      </c>
      <c r="B52" s="1" t="s">
        <v>125</v>
      </c>
      <c r="C52" s="35" t="s">
        <v>126</v>
      </c>
      <c r="D52" s="1" t="s">
        <v>127</v>
      </c>
      <c r="E52" s="4" t="s">
        <v>128</v>
      </c>
    </row>
    <row r="55" spans="1:2" ht="15">
      <c r="A55" s="25" t="s">
        <v>129</v>
      </c>
      <c r="B55" s="26"/>
    </row>
    <row r="56" spans="1:2" ht="14.25">
      <c r="A56" s="28" t="s">
        <v>130</v>
      </c>
      <c r="B56" s="29"/>
    </row>
    <row r="57" spans="1:5" ht="13.5">
      <c r="A57" s="30" t="s">
        <v>109</v>
      </c>
      <c r="B57" s="30" t="s">
        <v>110</v>
      </c>
      <c r="C57" s="36" t="s">
        <v>111</v>
      </c>
      <c r="D57" s="30" t="s">
        <v>112</v>
      </c>
      <c r="E57" s="30" t="s">
        <v>113</v>
      </c>
    </row>
    <row r="58" spans="1:5" ht="12.75">
      <c r="A58" s="27" t="s">
        <v>87</v>
      </c>
      <c r="B58" s="1" t="s">
        <v>131</v>
      </c>
      <c r="C58" s="35" t="s">
        <v>132</v>
      </c>
      <c r="D58" s="1" t="s">
        <v>133</v>
      </c>
      <c r="E58" s="4" t="s">
        <v>134</v>
      </c>
    </row>
    <row r="60" spans="1:2" ht="14.25">
      <c r="A60" s="28" t="s">
        <v>108</v>
      </c>
      <c r="B60" s="29"/>
    </row>
    <row r="61" spans="1:5" ht="13.5">
      <c r="A61" s="30" t="s">
        <v>109</v>
      </c>
      <c r="B61" s="30" t="s">
        <v>110</v>
      </c>
      <c r="C61" s="36" t="s">
        <v>111</v>
      </c>
      <c r="D61" s="30" t="s">
        <v>112</v>
      </c>
      <c r="E61" s="30" t="s">
        <v>113</v>
      </c>
    </row>
    <row r="62" spans="1:5" ht="12.75">
      <c r="A62" s="27" t="s">
        <v>87</v>
      </c>
      <c r="B62" s="1" t="s">
        <v>114</v>
      </c>
      <c r="C62" s="35" t="s">
        <v>132</v>
      </c>
      <c r="D62" s="1" t="s">
        <v>133</v>
      </c>
      <c r="E62" s="4" t="s">
        <v>134</v>
      </c>
    </row>
    <row r="63" spans="1:5" ht="12.75">
      <c r="A63" s="27" t="s">
        <v>72</v>
      </c>
      <c r="B63" s="1" t="s">
        <v>114</v>
      </c>
      <c r="C63" s="35" t="s">
        <v>135</v>
      </c>
      <c r="D63" s="1" t="s">
        <v>136</v>
      </c>
      <c r="E63" s="4" t="s">
        <v>137</v>
      </c>
    </row>
    <row r="64" spans="1:5" ht="12.75">
      <c r="A64" s="27" t="s">
        <v>61</v>
      </c>
      <c r="B64" s="1" t="s">
        <v>114</v>
      </c>
      <c r="C64" s="35" t="s">
        <v>138</v>
      </c>
      <c r="D64" s="1" t="s">
        <v>139</v>
      </c>
      <c r="E64" s="4" t="s">
        <v>140</v>
      </c>
    </row>
    <row r="66" spans="1:2" ht="14.25">
      <c r="A66" s="28" t="s">
        <v>124</v>
      </c>
      <c r="B66" s="29"/>
    </row>
    <row r="67" spans="1:5" ht="13.5">
      <c r="A67" s="30" t="s">
        <v>109</v>
      </c>
      <c r="B67" s="30" t="s">
        <v>110</v>
      </c>
      <c r="C67" s="36" t="s">
        <v>111</v>
      </c>
      <c r="D67" s="30" t="s">
        <v>112</v>
      </c>
      <c r="E67" s="30" t="s">
        <v>113</v>
      </c>
    </row>
    <row r="68" spans="1:5" ht="12.75">
      <c r="A68" s="27" t="s">
        <v>98</v>
      </c>
      <c r="B68" s="1" t="s">
        <v>141</v>
      </c>
      <c r="C68" s="35" t="s">
        <v>132</v>
      </c>
      <c r="D68" s="1" t="s">
        <v>142</v>
      </c>
      <c r="E68" s="4" t="s">
        <v>143</v>
      </c>
    </row>
  </sheetData>
  <sheetProtection/>
  <mergeCells count="22">
    <mergeCell ref="A29:T29"/>
    <mergeCell ref="A5:T5"/>
    <mergeCell ref="A8:T8"/>
    <mergeCell ref="A11:T11"/>
    <mergeCell ref="A14:T14"/>
    <mergeCell ref="A17:T17"/>
    <mergeCell ref="C3:C4"/>
    <mergeCell ref="U3:U4"/>
    <mergeCell ref="D3:D4"/>
    <mergeCell ref="S3:S4"/>
    <mergeCell ref="T3:T4"/>
    <mergeCell ref="A26:T26"/>
    <mergeCell ref="F3:F4"/>
    <mergeCell ref="E3:E4"/>
    <mergeCell ref="A20:T20"/>
    <mergeCell ref="A23:T23"/>
    <mergeCell ref="A1:U2"/>
    <mergeCell ref="G3:J3"/>
    <mergeCell ref="K3:N3"/>
    <mergeCell ref="O3:R3"/>
    <mergeCell ref="A3:A4"/>
    <mergeCell ref="B3:B4"/>
  </mergeCells>
  <printOptions/>
  <pageMargins left="0.19" right="0.47" top="0.45" bottom="0.49" header="0.5" footer="0.5"/>
  <pageSetup fitToHeight="100" fitToWidth="1" horizontalDpi="300" verticalDpi="3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40" sqref="B40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29.0039062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42" t="s">
        <v>712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10" t="s">
        <v>713</v>
      </c>
      <c r="B6" s="11" t="s">
        <v>714</v>
      </c>
      <c r="C6" s="11" t="s">
        <v>715</v>
      </c>
      <c r="D6" s="11" t="str">
        <f>"0,6768"</f>
        <v>0,6768</v>
      </c>
      <c r="E6" s="12" t="s">
        <v>237</v>
      </c>
      <c r="F6" s="12" t="s">
        <v>716</v>
      </c>
      <c r="G6" s="13" t="s">
        <v>93</v>
      </c>
      <c r="H6" s="13" t="s">
        <v>278</v>
      </c>
      <c r="I6" s="13" t="s">
        <v>278</v>
      </c>
      <c r="J6" s="13"/>
      <c r="K6" s="10" t="s">
        <v>59</v>
      </c>
      <c r="L6" s="11" t="str">
        <f>"0,0000"</f>
        <v>0,0000</v>
      </c>
      <c r="M6" s="12" t="s">
        <v>27</v>
      </c>
    </row>
    <row r="7" spans="1:13" ht="12.75">
      <c r="A7" s="14" t="s">
        <v>717</v>
      </c>
      <c r="B7" s="15" t="s">
        <v>718</v>
      </c>
      <c r="C7" s="15" t="s">
        <v>719</v>
      </c>
      <c r="D7" s="15" t="str">
        <f>"0,6760"</f>
        <v>0,6760</v>
      </c>
      <c r="E7" s="16" t="s">
        <v>31</v>
      </c>
      <c r="F7" s="16" t="s">
        <v>720</v>
      </c>
      <c r="G7" s="17" t="s">
        <v>455</v>
      </c>
      <c r="H7" s="17" t="s">
        <v>721</v>
      </c>
      <c r="I7" s="15" t="s">
        <v>721</v>
      </c>
      <c r="J7" s="17"/>
      <c r="K7" s="14" t="s">
        <v>722</v>
      </c>
      <c r="L7" s="15" t="str">
        <f>"184,2032"</f>
        <v>184,2032</v>
      </c>
      <c r="M7" s="16" t="s">
        <v>27</v>
      </c>
    </row>
    <row r="8" spans="1:13" ht="12.75">
      <c r="A8" s="18" t="s">
        <v>723</v>
      </c>
      <c r="B8" s="19" t="s">
        <v>724</v>
      </c>
      <c r="C8" s="19" t="s">
        <v>725</v>
      </c>
      <c r="D8" s="19" t="str">
        <f>"0,8102"</f>
        <v>0,8102</v>
      </c>
      <c r="E8" s="20" t="s">
        <v>31</v>
      </c>
      <c r="F8" s="20" t="s">
        <v>726</v>
      </c>
      <c r="G8" s="21" t="s">
        <v>58</v>
      </c>
      <c r="H8" s="21" t="s">
        <v>58</v>
      </c>
      <c r="I8" s="21" t="s">
        <v>423</v>
      </c>
      <c r="J8" s="21"/>
      <c r="K8" s="18" t="s">
        <v>59</v>
      </c>
      <c r="L8" s="19" t="str">
        <f>"0,0000"</f>
        <v>0,0000</v>
      </c>
      <c r="M8" s="20" t="s">
        <v>27</v>
      </c>
    </row>
    <row r="10" spans="1:12" ht="15">
      <c r="A10" s="40" t="s">
        <v>318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ht="12.75">
      <c r="A11" s="6" t="s">
        <v>727</v>
      </c>
      <c r="B11" s="7" t="s">
        <v>728</v>
      </c>
      <c r="C11" s="7" t="s">
        <v>729</v>
      </c>
      <c r="D11" s="7" t="str">
        <f>"0,5683"</f>
        <v>0,5683</v>
      </c>
      <c r="E11" s="8" t="s">
        <v>31</v>
      </c>
      <c r="F11" s="8" t="s">
        <v>17</v>
      </c>
      <c r="G11" s="7" t="s">
        <v>90</v>
      </c>
      <c r="H11" s="7" t="s">
        <v>91</v>
      </c>
      <c r="I11" s="7" t="s">
        <v>455</v>
      </c>
      <c r="J11" s="9"/>
      <c r="K11" s="6" t="s">
        <v>457</v>
      </c>
      <c r="L11" s="7" t="str">
        <f>"142,0750"</f>
        <v>142,0750</v>
      </c>
      <c r="M11" s="8" t="s">
        <v>27</v>
      </c>
    </row>
    <row r="13" ht="15">
      <c r="E13" s="22" t="s">
        <v>101</v>
      </c>
    </row>
    <row r="14" ht="15">
      <c r="E14" s="22" t="s">
        <v>102</v>
      </c>
    </row>
    <row r="15" ht="15">
      <c r="E15" s="22" t="s">
        <v>103</v>
      </c>
    </row>
    <row r="16" ht="15">
      <c r="E16" s="22" t="s">
        <v>104</v>
      </c>
    </row>
    <row r="17" ht="15">
      <c r="E17" s="22" t="s">
        <v>104</v>
      </c>
    </row>
    <row r="18" ht="15">
      <c r="E18" s="22" t="s">
        <v>105</v>
      </c>
    </row>
    <row r="19" ht="15">
      <c r="E19" s="22"/>
    </row>
    <row r="21" spans="1:2" ht="17.25">
      <c r="A21" s="23" t="s">
        <v>106</v>
      </c>
      <c r="B21" s="24"/>
    </row>
    <row r="22" spans="1:2" ht="15">
      <c r="A22" s="25" t="s">
        <v>129</v>
      </c>
      <c r="B22" s="26"/>
    </row>
    <row r="23" spans="1:2" ht="14.25">
      <c r="A23" s="28" t="s">
        <v>108</v>
      </c>
      <c r="B23" s="29"/>
    </row>
    <row r="24" spans="1:5" ht="13.5">
      <c r="A24" s="30" t="s">
        <v>109</v>
      </c>
      <c r="B24" s="30" t="s">
        <v>110</v>
      </c>
      <c r="C24" s="30" t="s">
        <v>111</v>
      </c>
      <c r="D24" s="30" t="s">
        <v>112</v>
      </c>
      <c r="E24" s="30" t="s">
        <v>113</v>
      </c>
    </row>
    <row r="25" spans="1:5" ht="12.75">
      <c r="A25" s="27" t="s">
        <v>727</v>
      </c>
      <c r="B25" s="1" t="s">
        <v>114</v>
      </c>
      <c r="C25" s="1" t="s">
        <v>364</v>
      </c>
      <c r="D25" s="1" t="s">
        <v>455</v>
      </c>
      <c r="E25" s="4" t="s">
        <v>730</v>
      </c>
    </row>
    <row r="27" spans="1:2" ht="14.25">
      <c r="A27" s="28" t="s">
        <v>124</v>
      </c>
      <c r="B27" s="29"/>
    </row>
    <row r="28" spans="1:5" ht="13.5">
      <c r="A28" s="30" t="s">
        <v>109</v>
      </c>
      <c r="B28" s="30" t="s">
        <v>110</v>
      </c>
      <c r="C28" s="30" t="s">
        <v>111</v>
      </c>
      <c r="D28" s="30" t="s">
        <v>112</v>
      </c>
      <c r="E28" s="30" t="s">
        <v>113</v>
      </c>
    </row>
    <row r="29" spans="1:5" ht="12.75">
      <c r="A29" s="27" t="s">
        <v>717</v>
      </c>
      <c r="B29" s="1" t="s">
        <v>141</v>
      </c>
      <c r="C29" s="1" t="s">
        <v>138</v>
      </c>
      <c r="D29" s="1" t="s">
        <v>721</v>
      </c>
      <c r="E29" s="4" t="s">
        <v>731</v>
      </c>
    </row>
  </sheetData>
  <sheetProtection/>
  <mergeCells count="13">
    <mergeCell ref="M3:M4"/>
    <mergeCell ref="A5:L5"/>
    <mergeCell ref="A10:L1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B40" sqref="B40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38.375" style="5" bestFit="1" customWidth="1"/>
    <col min="7" max="7" width="5.50390625" style="1" bestFit="1" customWidth="1"/>
    <col min="8" max="8" width="7.50390625" style="1" bestFit="1" customWidth="1"/>
    <col min="9" max="9" width="7.875" style="4" bestFit="1" customWidth="1"/>
    <col min="10" max="10" width="9.50390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42" t="s">
        <v>732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2" customFormat="1" ht="12.75" customHeight="1">
      <c r="A3" s="48" t="s">
        <v>0</v>
      </c>
      <c r="B3" s="50" t="s">
        <v>637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 t="s">
        <v>4</v>
      </c>
      <c r="J3" s="38" t="s">
        <v>7</v>
      </c>
      <c r="K3" s="53" t="s">
        <v>6</v>
      </c>
    </row>
    <row r="4" spans="1:11" s="2" customFormat="1" ht="21" customHeight="1" thickBot="1">
      <c r="A4" s="49"/>
      <c r="B4" s="39"/>
      <c r="C4" s="39"/>
      <c r="D4" s="39"/>
      <c r="E4" s="39"/>
      <c r="F4" s="39"/>
      <c r="G4" s="3" t="s">
        <v>638</v>
      </c>
      <c r="H4" s="3" t="s">
        <v>639</v>
      </c>
      <c r="I4" s="39"/>
      <c r="J4" s="39"/>
      <c r="K4" s="54"/>
    </row>
    <row r="5" spans="1:10" ht="15">
      <c r="A5" s="55" t="s">
        <v>60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2.75">
      <c r="A6" s="6" t="s">
        <v>723</v>
      </c>
      <c r="B6" s="7" t="s">
        <v>724</v>
      </c>
      <c r="C6" s="7" t="s">
        <v>725</v>
      </c>
      <c r="D6" s="7" t="str">
        <f>"0,8102"</f>
        <v>0,8102</v>
      </c>
      <c r="E6" s="8" t="s">
        <v>31</v>
      </c>
      <c r="F6" s="8" t="s">
        <v>322</v>
      </c>
      <c r="G6" s="9" t="s">
        <v>67</v>
      </c>
      <c r="H6" s="9"/>
      <c r="I6" s="6" t="s">
        <v>59</v>
      </c>
      <c r="J6" s="7" t="str">
        <f>"0,0000"</f>
        <v>0,0000</v>
      </c>
      <c r="K6" s="8" t="s">
        <v>27</v>
      </c>
    </row>
    <row r="8" spans="1:10" ht="15">
      <c r="A8" s="40" t="s">
        <v>71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ht="12.75">
      <c r="A9" s="10" t="s">
        <v>733</v>
      </c>
      <c r="B9" s="11" t="s">
        <v>734</v>
      </c>
      <c r="C9" s="11" t="s">
        <v>252</v>
      </c>
      <c r="D9" s="11" t="str">
        <f>"0,6177"</f>
        <v>0,6177</v>
      </c>
      <c r="E9" s="12" t="s">
        <v>31</v>
      </c>
      <c r="F9" s="12" t="s">
        <v>735</v>
      </c>
      <c r="G9" s="11" t="s">
        <v>34</v>
      </c>
      <c r="H9" s="11" t="s">
        <v>736</v>
      </c>
      <c r="I9" s="10" t="s">
        <v>737</v>
      </c>
      <c r="J9" s="11" t="str">
        <f>"1501,0110"</f>
        <v>1501,0110</v>
      </c>
      <c r="K9" s="12" t="s">
        <v>27</v>
      </c>
    </row>
    <row r="10" spans="1:11" ht="12.75">
      <c r="A10" s="18" t="s">
        <v>738</v>
      </c>
      <c r="B10" s="19" t="s">
        <v>739</v>
      </c>
      <c r="C10" s="19" t="s">
        <v>740</v>
      </c>
      <c r="D10" s="19" t="str">
        <f>"0,6382"</f>
        <v>0,6382</v>
      </c>
      <c r="E10" s="20" t="s">
        <v>31</v>
      </c>
      <c r="F10" s="20" t="s">
        <v>17</v>
      </c>
      <c r="G10" s="19" t="s">
        <v>44</v>
      </c>
      <c r="H10" s="19" t="s">
        <v>647</v>
      </c>
      <c r="I10" s="18" t="s">
        <v>741</v>
      </c>
      <c r="J10" s="19" t="str">
        <f>"1573,1630"</f>
        <v>1573,1630</v>
      </c>
      <c r="K10" s="20" t="s">
        <v>27</v>
      </c>
    </row>
    <row r="12" spans="1:10" ht="15">
      <c r="A12" s="40" t="s">
        <v>80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1" ht="12.75">
      <c r="A13" s="10" t="s">
        <v>742</v>
      </c>
      <c r="B13" s="11" t="s">
        <v>743</v>
      </c>
      <c r="C13" s="11" t="s">
        <v>744</v>
      </c>
      <c r="D13" s="11" t="str">
        <f>"0,6097"</f>
        <v>0,6097</v>
      </c>
      <c r="E13" s="12" t="s">
        <v>31</v>
      </c>
      <c r="F13" s="12" t="s">
        <v>17</v>
      </c>
      <c r="G13" s="11" t="s">
        <v>199</v>
      </c>
      <c r="H13" s="11" t="s">
        <v>745</v>
      </c>
      <c r="I13" s="10" t="s">
        <v>746</v>
      </c>
      <c r="J13" s="11" t="str">
        <f>"2312,0977"</f>
        <v>2312,0977</v>
      </c>
      <c r="K13" s="12" t="s">
        <v>27</v>
      </c>
    </row>
    <row r="14" spans="1:11" ht="12.75">
      <c r="A14" s="14" t="s">
        <v>747</v>
      </c>
      <c r="B14" s="15" t="s">
        <v>748</v>
      </c>
      <c r="C14" s="15" t="s">
        <v>418</v>
      </c>
      <c r="D14" s="15" t="str">
        <f>"0,5878"</f>
        <v>0,5878</v>
      </c>
      <c r="E14" s="16" t="s">
        <v>31</v>
      </c>
      <c r="F14" s="16" t="s">
        <v>17</v>
      </c>
      <c r="G14" s="15" t="s">
        <v>418</v>
      </c>
      <c r="H14" s="15" t="s">
        <v>661</v>
      </c>
      <c r="I14" s="14" t="s">
        <v>749</v>
      </c>
      <c r="J14" s="15" t="str">
        <f>"1776,4744"</f>
        <v>1776,4744</v>
      </c>
      <c r="K14" s="16" t="s">
        <v>27</v>
      </c>
    </row>
    <row r="15" spans="1:11" ht="12.75">
      <c r="A15" s="14" t="s">
        <v>544</v>
      </c>
      <c r="B15" s="15" t="s">
        <v>545</v>
      </c>
      <c r="C15" s="15" t="s">
        <v>25</v>
      </c>
      <c r="D15" s="15" t="str">
        <f>"0,5871"</f>
        <v>0,5871</v>
      </c>
      <c r="E15" s="16" t="s">
        <v>31</v>
      </c>
      <c r="F15" s="16" t="s">
        <v>546</v>
      </c>
      <c r="G15" s="15" t="s">
        <v>25</v>
      </c>
      <c r="H15" s="15" t="s">
        <v>750</v>
      </c>
      <c r="I15" s="14" t="s">
        <v>751</v>
      </c>
      <c r="J15" s="15" t="str">
        <f>"1937,4730"</f>
        <v>1937,4730</v>
      </c>
      <c r="K15" s="16" t="s">
        <v>27</v>
      </c>
    </row>
    <row r="16" spans="1:11" ht="12.75">
      <c r="A16" s="18" t="s">
        <v>548</v>
      </c>
      <c r="B16" s="19" t="s">
        <v>549</v>
      </c>
      <c r="C16" s="19" t="s">
        <v>550</v>
      </c>
      <c r="D16" s="19" t="str">
        <f>"0,6222"</f>
        <v>0,6222</v>
      </c>
      <c r="E16" s="20" t="s">
        <v>225</v>
      </c>
      <c r="F16" s="20" t="s">
        <v>302</v>
      </c>
      <c r="G16" s="19" t="s">
        <v>25</v>
      </c>
      <c r="H16" s="19" t="s">
        <v>752</v>
      </c>
      <c r="I16" s="18" t="s">
        <v>753</v>
      </c>
      <c r="J16" s="19" t="str">
        <f>"1057,6778"</f>
        <v>1057,6778</v>
      </c>
      <c r="K16" s="20" t="s">
        <v>27</v>
      </c>
    </row>
    <row r="18" spans="1:10" ht="15">
      <c r="A18" s="40" t="s">
        <v>86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1" ht="12.75">
      <c r="A19" s="10" t="s">
        <v>754</v>
      </c>
      <c r="B19" s="11" t="s">
        <v>755</v>
      </c>
      <c r="C19" s="11" t="s">
        <v>756</v>
      </c>
      <c r="D19" s="11" t="str">
        <f>"0,5599"</f>
        <v>0,5599</v>
      </c>
      <c r="E19" s="12" t="s">
        <v>31</v>
      </c>
      <c r="F19" s="12" t="s">
        <v>757</v>
      </c>
      <c r="G19" s="11" t="s">
        <v>758</v>
      </c>
      <c r="H19" s="11" t="s">
        <v>759</v>
      </c>
      <c r="I19" s="10" t="s">
        <v>760</v>
      </c>
      <c r="J19" s="11" t="str">
        <f>"2267,5949"</f>
        <v>2267,5949</v>
      </c>
      <c r="K19" s="12" t="s">
        <v>27</v>
      </c>
    </row>
    <row r="20" spans="1:11" ht="12.75">
      <c r="A20" s="18" t="s">
        <v>754</v>
      </c>
      <c r="B20" s="19" t="s">
        <v>761</v>
      </c>
      <c r="C20" s="19" t="s">
        <v>756</v>
      </c>
      <c r="D20" s="19" t="str">
        <f>"0,5773"</f>
        <v>0,5773</v>
      </c>
      <c r="E20" s="20" t="s">
        <v>31</v>
      </c>
      <c r="F20" s="20" t="s">
        <v>757</v>
      </c>
      <c r="G20" s="19" t="s">
        <v>758</v>
      </c>
      <c r="H20" s="19" t="s">
        <v>759</v>
      </c>
      <c r="I20" s="18" t="s">
        <v>760</v>
      </c>
      <c r="J20" s="19" t="str">
        <f>"2337,8903"</f>
        <v>2337,8903</v>
      </c>
      <c r="K20" s="20" t="s">
        <v>27</v>
      </c>
    </row>
    <row r="22" ht="15">
      <c r="E22" s="22" t="s">
        <v>101</v>
      </c>
    </row>
    <row r="23" ht="15">
      <c r="E23" s="22" t="s">
        <v>102</v>
      </c>
    </row>
    <row r="24" ht="15">
      <c r="E24" s="22" t="s">
        <v>103</v>
      </c>
    </row>
    <row r="25" ht="15">
      <c r="E25" s="22" t="s">
        <v>104</v>
      </c>
    </row>
    <row r="26" ht="15">
      <c r="E26" s="22" t="s">
        <v>104</v>
      </c>
    </row>
    <row r="27" ht="15">
      <c r="E27" s="22" t="s">
        <v>105</v>
      </c>
    </row>
    <row r="28" ht="15">
      <c r="E28" s="22"/>
    </row>
    <row r="30" spans="1:2" ht="17.25">
      <c r="A30" s="23" t="s">
        <v>106</v>
      </c>
      <c r="B30" s="24"/>
    </row>
    <row r="31" spans="1:2" ht="15">
      <c r="A31" s="25" t="s">
        <v>129</v>
      </c>
      <c r="B31" s="26"/>
    </row>
    <row r="32" spans="1:2" ht="14.25">
      <c r="A32" s="28" t="s">
        <v>130</v>
      </c>
      <c r="B32" s="29"/>
    </row>
    <row r="33" spans="1:5" ht="13.5">
      <c r="A33" s="30" t="s">
        <v>109</v>
      </c>
      <c r="B33" s="30" t="s">
        <v>110</v>
      </c>
      <c r="C33" s="30" t="s">
        <v>111</v>
      </c>
      <c r="D33" s="30" t="s">
        <v>112</v>
      </c>
      <c r="E33" s="30" t="s">
        <v>113</v>
      </c>
    </row>
    <row r="34" spans="1:5" ht="12.75">
      <c r="A34" s="27" t="s">
        <v>733</v>
      </c>
      <c r="B34" s="1" t="s">
        <v>131</v>
      </c>
      <c r="C34" s="1" t="s">
        <v>135</v>
      </c>
      <c r="D34" s="1" t="s">
        <v>762</v>
      </c>
      <c r="E34" s="4" t="s">
        <v>763</v>
      </c>
    </row>
    <row r="36" spans="1:2" ht="14.25">
      <c r="A36" s="28" t="s">
        <v>108</v>
      </c>
      <c r="B36" s="29"/>
    </row>
    <row r="37" spans="1:5" ht="13.5">
      <c r="A37" s="30" t="s">
        <v>109</v>
      </c>
      <c r="B37" s="30" t="s">
        <v>110</v>
      </c>
      <c r="C37" s="30" t="s">
        <v>111</v>
      </c>
      <c r="D37" s="30" t="s">
        <v>112</v>
      </c>
      <c r="E37" s="30" t="s">
        <v>113</v>
      </c>
    </row>
    <row r="38" spans="1:5" ht="12.75">
      <c r="A38" s="27" t="s">
        <v>742</v>
      </c>
      <c r="B38" s="1" t="s">
        <v>114</v>
      </c>
      <c r="C38" s="1" t="s">
        <v>368</v>
      </c>
      <c r="D38" s="1" t="s">
        <v>764</v>
      </c>
      <c r="E38" s="4" t="s">
        <v>765</v>
      </c>
    </row>
    <row r="39" spans="1:5" ht="12.75">
      <c r="A39" s="27" t="s">
        <v>754</v>
      </c>
      <c r="B39" s="1" t="s">
        <v>114</v>
      </c>
      <c r="C39" s="1" t="s">
        <v>132</v>
      </c>
      <c r="D39" s="1" t="s">
        <v>766</v>
      </c>
      <c r="E39" s="4" t="s">
        <v>767</v>
      </c>
    </row>
    <row r="40" spans="1:5" ht="12.75">
      <c r="A40" s="27" t="s">
        <v>747</v>
      </c>
      <c r="B40" s="1" t="s">
        <v>114</v>
      </c>
      <c r="C40" s="1" t="s">
        <v>368</v>
      </c>
      <c r="D40" s="1" t="s">
        <v>768</v>
      </c>
      <c r="E40" s="4" t="s">
        <v>769</v>
      </c>
    </row>
    <row r="41" spans="1:5" ht="12.75">
      <c r="A41" s="27" t="s">
        <v>738</v>
      </c>
      <c r="B41" s="1" t="s">
        <v>114</v>
      </c>
      <c r="C41" s="1" t="s">
        <v>135</v>
      </c>
      <c r="D41" s="1" t="s">
        <v>770</v>
      </c>
      <c r="E41" s="4" t="s">
        <v>771</v>
      </c>
    </row>
    <row r="43" spans="1:2" ht="14.25">
      <c r="A43" s="28" t="s">
        <v>124</v>
      </c>
      <c r="B43" s="29"/>
    </row>
    <row r="44" spans="1:5" ht="13.5">
      <c r="A44" s="30" t="s">
        <v>109</v>
      </c>
      <c r="B44" s="30" t="s">
        <v>110</v>
      </c>
      <c r="C44" s="30" t="s">
        <v>111</v>
      </c>
      <c r="D44" s="30" t="s">
        <v>112</v>
      </c>
      <c r="E44" s="30" t="s">
        <v>113</v>
      </c>
    </row>
    <row r="45" spans="1:5" ht="12.75">
      <c r="A45" s="27" t="s">
        <v>754</v>
      </c>
      <c r="B45" s="1" t="s">
        <v>141</v>
      </c>
      <c r="C45" s="1" t="s">
        <v>132</v>
      </c>
      <c r="D45" s="1" t="s">
        <v>766</v>
      </c>
      <c r="E45" s="4" t="s">
        <v>772</v>
      </c>
    </row>
    <row r="46" spans="1:5" ht="12.75">
      <c r="A46" s="27" t="s">
        <v>544</v>
      </c>
      <c r="B46" s="1" t="s">
        <v>141</v>
      </c>
      <c r="C46" s="1" t="s">
        <v>368</v>
      </c>
      <c r="D46" s="1" t="s">
        <v>773</v>
      </c>
      <c r="E46" s="4" t="s">
        <v>774</v>
      </c>
    </row>
    <row r="47" spans="1:5" ht="12.75">
      <c r="A47" s="27" t="s">
        <v>548</v>
      </c>
      <c r="B47" s="1" t="s">
        <v>125</v>
      </c>
      <c r="C47" s="1" t="s">
        <v>368</v>
      </c>
      <c r="D47" s="1" t="s">
        <v>775</v>
      </c>
      <c r="E47" s="4" t="s">
        <v>776</v>
      </c>
    </row>
  </sheetData>
  <sheetProtection/>
  <mergeCells count="15">
    <mergeCell ref="K3:K4"/>
    <mergeCell ref="A5:J5"/>
    <mergeCell ref="A8:J8"/>
    <mergeCell ref="A12:J12"/>
    <mergeCell ref="A18:J1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28.375" style="4" bestFit="1" customWidth="1"/>
    <col min="2" max="2" width="21.5039062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36.62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42" t="s">
        <v>579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3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6" t="s">
        <v>580</v>
      </c>
      <c r="B6" s="7" t="s">
        <v>581</v>
      </c>
      <c r="C6" s="7" t="s">
        <v>582</v>
      </c>
      <c r="D6" s="7" t="str">
        <f>"0,6399"</f>
        <v>0,6399</v>
      </c>
      <c r="E6" s="8" t="s">
        <v>31</v>
      </c>
      <c r="F6" s="8" t="s">
        <v>17</v>
      </c>
      <c r="G6" s="7" t="s">
        <v>435</v>
      </c>
      <c r="H6" s="7" t="s">
        <v>444</v>
      </c>
      <c r="I6" s="9" t="s">
        <v>583</v>
      </c>
      <c r="J6" s="9"/>
      <c r="K6" s="6" t="s">
        <v>445</v>
      </c>
      <c r="L6" s="7" t="str">
        <f>"142,3778"</f>
        <v>142,3778</v>
      </c>
      <c r="M6" s="8" t="s">
        <v>27</v>
      </c>
    </row>
    <row r="8" spans="1:12" ht="15">
      <c r="A8" s="40" t="s">
        <v>71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6" t="s">
        <v>527</v>
      </c>
      <c r="B9" s="7" t="s">
        <v>528</v>
      </c>
      <c r="C9" s="7" t="s">
        <v>529</v>
      </c>
      <c r="D9" s="7" t="str">
        <f>"0,6157"</f>
        <v>0,6157</v>
      </c>
      <c r="E9" s="8" t="s">
        <v>31</v>
      </c>
      <c r="F9" s="8" t="s">
        <v>530</v>
      </c>
      <c r="G9" s="7" t="s">
        <v>458</v>
      </c>
      <c r="H9" s="9" t="s">
        <v>90</v>
      </c>
      <c r="I9" s="7" t="s">
        <v>90</v>
      </c>
      <c r="J9" s="9"/>
      <c r="K9" s="6" t="s">
        <v>584</v>
      </c>
      <c r="L9" s="7" t="str">
        <f>"141,6110"</f>
        <v>141,6110</v>
      </c>
      <c r="M9" s="8" t="s">
        <v>27</v>
      </c>
    </row>
    <row r="11" spans="1:12" ht="15">
      <c r="A11" s="40" t="s">
        <v>86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ht="12.75">
      <c r="A12" s="6" t="s">
        <v>585</v>
      </c>
      <c r="B12" s="7" t="s">
        <v>586</v>
      </c>
      <c r="C12" s="7" t="s">
        <v>587</v>
      </c>
      <c r="D12" s="7" t="str">
        <f>"0,5276"</f>
        <v>0,5276</v>
      </c>
      <c r="E12" s="8" t="s">
        <v>31</v>
      </c>
      <c r="F12" s="8" t="s">
        <v>588</v>
      </c>
      <c r="G12" s="7" t="s">
        <v>589</v>
      </c>
      <c r="H12" s="9" t="s">
        <v>590</v>
      </c>
      <c r="I12" s="9" t="s">
        <v>590</v>
      </c>
      <c r="J12" s="9"/>
      <c r="K12" s="6" t="s">
        <v>591</v>
      </c>
      <c r="L12" s="7" t="str">
        <f>"129,2620"</f>
        <v>129,2620</v>
      </c>
      <c r="M12" s="8" t="s">
        <v>27</v>
      </c>
    </row>
    <row r="14" ht="15">
      <c r="E14" s="22" t="s">
        <v>101</v>
      </c>
    </row>
    <row r="15" ht="15">
      <c r="E15" s="22" t="s">
        <v>102</v>
      </c>
    </row>
    <row r="16" ht="15">
      <c r="E16" s="22" t="s">
        <v>103</v>
      </c>
    </row>
    <row r="17" ht="15">
      <c r="E17" s="22" t="s">
        <v>104</v>
      </c>
    </row>
    <row r="18" ht="15">
      <c r="E18" s="22" t="s">
        <v>104</v>
      </c>
    </row>
    <row r="19" ht="15">
      <c r="E19" s="22" t="s">
        <v>105</v>
      </c>
    </row>
    <row r="20" ht="15">
      <c r="E20" s="22"/>
    </row>
    <row r="22" spans="1:2" ht="17.25">
      <c r="A22" s="23" t="s">
        <v>106</v>
      </c>
      <c r="B22" s="24"/>
    </row>
    <row r="23" spans="1:2" ht="15">
      <c r="A23" s="25" t="s">
        <v>129</v>
      </c>
      <c r="B23" s="26"/>
    </row>
    <row r="24" spans="1:2" ht="14.25">
      <c r="A24" s="28" t="s">
        <v>108</v>
      </c>
      <c r="B24" s="29"/>
    </row>
    <row r="25" spans="1:5" ht="13.5">
      <c r="A25" s="30" t="s">
        <v>109</v>
      </c>
      <c r="B25" s="30" t="s">
        <v>110</v>
      </c>
      <c r="C25" s="30" t="s">
        <v>111</v>
      </c>
      <c r="D25" s="30" t="s">
        <v>112</v>
      </c>
      <c r="E25" s="30" t="s">
        <v>113</v>
      </c>
    </row>
    <row r="26" spans="1:5" ht="12.75">
      <c r="A26" s="27" t="s">
        <v>580</v>
      </c>
      <c r="B26" s="1" t="s">
        <v>114</v>
      </c>
      <c r="C26" s="1" t="s">
        <v>138</v>
      </c>
      <c r="D26" s="1" t="s">
        <v>444</v>
      </c>
      <c r="E26" s="4" t="s">
        <v>592</v>
      </c>
    </row>
    <row r="27" spans="1:5" ht="12.75">
      <c r="A27" s="27" t="s">
        <v>527</v>
      </c>
      <c r="B27" s="1" t="s">
        <v>114</v>
      </c>
      <c r="C27" s="1" t="s">
        <v>135</v>
      </c>
      <c r="D27" s="1" t="s">
        <v>90</v>
      </c>
      <c r="E27" s="4" t="s">
        <v>593</v>
      </c>
    </row>
    <row r="28" spans="1:5" ht="12.75">
      <c r="A28" s="27" t="s">
        <v>585</v>
      </c>
      <c r="B28" s="1" t="s">
        <v>114</v>
      </c>
      <c r="C28" s="1" t="s">
        <v>132</v>
      </c>
      <c r="D28" s="1" t="s">
        <v>589</v>
      </c>
      <c r="E28" s="4" t="s">
        <v>594</v>
      </c>
    </row>
  </sheetData>
  <sheetProtection/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</mergeCells>
  <printOptions/>
  <pageMargins left="0.19" right="0.47" top="0.45" bottom="0.49" header="0.5" footer="0.5"/>
  <pageSetup fitToHeight="100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zoomScalePageLayoutView="0" workbookViewId="0" topLeftCell="A61">
      <selection activeCell="K79" sqref="K79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46.5039062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16.50390625" style="5" bestFit="1" customWidth="1"/>
    <col min="14" max="16384" width="9.125" style="1" customWidth="1"/>
  </cols>
  <sheetData>
    <row r="1" spans="1:13" ht="15" customHeight="1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146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6" t="s">
        <v>147</v>
      </c>
      <c r="B6" s="7" t="s">
        <v>148</v>
      </c>
      <c r="C6" s="7" t="s">
        <v>149</v>
      </c>
      <c r="D6" s="7" t="str">
        <f>"1,1557"</f>
        <v>1,1557</v>
      </c>
      <c r="E6" s="8" t="s">
        <v>31</v>
      </c>
      <c r="F6" s="8" t="s">
        <v>17</v>
      </c>
      <c r="G6" s="9" t="s">
        <v>20</v>
      </c>
      <c r="H6" s="7" t="s">
        <v>20</v>
      </c>
      <c r="I6" s="7" t="s">
        <v>22</v>
      </c>
      <c r="J6" s="9"/>
      <c r="K6" s="6" t="s">
        <v>150</v>
      </c>
      <c r="L6" s="7" t="str">
        <f>"54,8957"</f>
        <v>54,8957</v>
      </c>
      <c r="M6" s="8" t="s">
        <v>27</v>
      </c>
    </row>
    <row r="8" spans="1:12" ht="15">
      <c r="A8" s="40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6" t="s">
        <v>151</v>
      </c>
      <c r="B9" s="7" t="s">
        <v>152</v>
      </c>
      <c r="C9" s="7" t="s">
        <v>153</v>
      </c>
      <c r="D9" s="7" t="str">
        <f>"1,0494"</f>
        <v>1,0494</v>
      </c>
      <c r="E9" s="8" t="s">
        <v>31</v>
      </c>
      <c r="F9" s="8" t="s">
        <v>154</v>
      </c>
      <c r="G9" s="9" t="s">
        <v>21</v>
      </c>
      <c r="H9" s="9" t="s">
        <v>21</v>
      </c>
      <c r="I9" s="7" t="s">
        <v>21</v>
      </c>
      <c r="J9" s="9"/>
      <c r="K9" s="6" t="s">
        <v>155</v>
      </c>
      <c r="L9" s="7" t="str">
        <f>"47,2230"</f>
        <v>47,2230</v>
      </c>
      <c r="M9" s="8" t="s">
        <v>27</v>
      </c>
    </row>
    <row r="11" spans="1:12" ht="15">
      <c r="A11" s="40" t="s">
        <v>156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ht="12.75">
      <c r="A12" s="10" t="s">
        <v>157</v>
      </c>
      <c r="B12" s="11" t="s">
        <v>158</v>
      </c>
      <c r="C12" s="11" t="s">
        <v>159</v>
      </c>
      <c r="D12" s="11" t="str">
        <f>"0,9110"</f>
        <v>0,9110</v>
      </c>
      <c r="E12" s="12" t="s">
        <v>31</v>
      </c>
      <c r="F12" s="12" t="s">
        <v>17</v>
      </c>
      <c r="G12" s="11" t="s">
        <v>52</v>
      </c>
      <c r="H12" s="13" t="s">
        <v>19</v>
      </c>
      <c r="I12" s="13" t="s">
        <v>19</v>
      </c>
      <c r="J12" s="13"/>
      <c r="K12" s="10" t="s">
        <v>160</v>
      </c>
      <c r="L12" s="11" t="str">
        <f>"61,4925"</f>
        <v>61,4925</v>
      </c>
      <c r="M12" s="12" t="s">
        <v>27</v>
      </c>
    </row>
    <row r="13" spans="1:13" ht="12.75">
      <c r="A13" s="14" t="s">
        <v>161</v>
      </c>
      <c r="B13" s="15" t="s">
        <v>162</v>
      </c>
      <c r="C13" s="15" t="s">
        <v>163</v>
      </c>
      <c r="D13" s="15" t="str">
        <f>"0,9086"</f>
        <v>0,9086</v>
      </c>
      <c r="E13" s="16" t="s">
        <v>31</v>
      </c>
      <c r="F13" s="16" t="s">
        <v>17</v>
      </c>
      <c r="G13" s="15" t="s">
        <v>164</v>
      </c>
      <c r="H13" s="17" t="s">
        <v>165</v>
      </c>
      <c r="I13" s="17" t="s">
        <v>165</v>
      </c>
      <c r="J13" s="17"/>
      <c r="K13" s="14" t="s">
        <v>166</v>
      </c>
      <c r="L13" s="15" t="str">
        <f>"54,5160"</f>
        <v>54,5160</v>
      </c>
      <c r="M13" s="16" t="s">
        <v>27</v>
      </c>
    </row>
    <row r="14" spans="1:13" ht="12.75">
      <c r="A14" s="18" t="s">
        <v>167</v>
      </c>
      <c r="B14" s="19" t="s">
        <v>168</v>
      </c>
      <c r="C14" s="19" t="s">
        <v>169</v>
      </c>
      <c r="D14" s="19" t="str">
        <f>"0,9462"</f>
        <v>0,9462</v>
      </c>
      <c r="E14" s="20" t="s">
        <v>31</v>
      </c>
      <c r="F14" s="20" t="s">
        <v>170</v>
      </c>
      <c r="G14" s="19" t="s">
        <v>35</v>
      </c>
      <c r="H14" s="19" t="s">
        <v>171</v>
      </c>
      <c r="I14" s="19" t="s">
        <v>172</v>
      </c>
      <c r="J14" s="21"/>
      <c r="K14" s="18" t="s">
        <v>173</v>
      </c>
      <c r="L14" s="19" t="str">
        <f>"54,4065"</f>
        <v>54,4065</v>
      </c>
      <c r="M14" s="20" t="s">
        <v>27</v>
      </c>
    </row>
    <row r="16" spans="1:12" ht="15">
      <c r="A16" s="40" t="s">
        <v>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3" ht="12.75">
      <c r="A17" s="6" t="s">
        <v>39</v>
      </c>
      <c r="B17" s="7" t="s">
        <v>40</v>
      </c>
      <c r="C17" s="7" t="s">
        <v>174</v>
      </c>
      <c r="D17" s="7" t="str">
        <f>"0,8738"</f>
        <v>0,8738</v>
      </c>
      <c r="E17" s="8" t="s">
        <v>31</v>
      </c>
      <c r="F17" s="8" t="s">
        <v>41</v>
      </c>
      <c r="G17" s="7" t="s">
        <v>43</v>
      </c>
      <c r="H17" s="9"/>
      <c r="I17" s="9"/>
      <c r="J17" s="9"/>
      <c r="K17" s="6" t="s">
        <v>175</v>
      </c>
      <c r="L17" s="7" t="str">
        <f>"34,9520"</f>
        <v>34,9520</v>
      </c>
      <c r="M17" s="8" t="s">
        <v>27</v>
      </c>
    </row>
    <row r="19" spans="1:12" ht="15">
      <c r="A19" s="40" t="s">
        <v>54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3" ht="12.75">
      <c r="A20" s="6" t="s">
        <v>176</v>
      </c>
      <c r="B20" s="7" t="s">
        <v>177</v>
      </c>
      <c r="C20" s="7" t="s">
        <v>178</v>
      </c>
      <c r="D20" s="7" t="str">
        <f>"0,8146"</f>
        <v>0,8146</v>
      </c>
      <c r="E20" s="8" t="s">
        <v>31</v>
      </c>
      <c r="F20" s="8" t="s">
        <v>179</v>
      </c>
      <c r="G20" s="9" t="s">
        <v>34</v>
      </c>
      <c r="H20" s="7" t="s">
        <v>34</v>
      </c>
      <c r="I20" s="9" t="s">
        <v>24</v>
      </c>
      <c r="J20" s="9"/>
      <c r="K20" s="6" t="s">
        <v>180</v>
      </c>
      <c r="L20" s="7" t="str">
        <f>"73,3165"</f>
        <v>73,3165</v>
      </c>
      <c r="M20" s="8" t="s">
        <v>27</v>
      </c>
    </row>
    <row r="22" spans="1:12" ht="15">
      <c r="A22" s="40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ht="12.75">
      <c r="A23" s="6" t="s">
        <v>181</v>
      </c>
      <c r="B23" s="7" t="s">
        <v>182</v>
      </c>
      <c r="C23" s="7" t="s">
        <v>183</v>
      </c>
      <c r="D23" s="7" t="str">
        <f>"0,8906"</f>
        <v>0,8906</v>
      </c>
      <c r="E23" s="8" t="s">
        <v>31</v>
      </c>
      <c r="F23" s="8" t="s">
        <v>17</v>
      </c>
      <c r="G23" s="7" t="s">
        <v>184</v>
      </c>
      <c r="H23" s="7" t="s">
        <v>33</v>
      </c>
      <c r="I23" s="9" t="s">
        <v>67</v>
      </c>
      <c r="J23" s="9"/>
      <c r="K23" s="6" t="s">
        <v>185</v>
      </c>
      <c r="L23" s="7" t="str">
        <f>"71,2480"</f>
        <v>71,2480</v>
      </c>
      <c r="M23" s="8" t="s">
        <v>27</v>
      </c>
    </row>
    <row r="25" spans="1:12" ht="15">
      <c r="A25" s="40" t="s">
        <v>38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 ht="12.75">
      <c r="A26" s="6" t="s">
        <v>186</v>
      </c>
      <c r="B26" s="7" t="s">
        <v>187</v>
      </c>
      <c r="C26" s="7" t="s">
        <v>164</v>
      </c>
      <c r="D26" s="7" t="str">
        <f>"0,8128"</f>
        <v>0,8128</v>
      </c>
      <c r="E26" s="8" t="s">
        <v>31</v>
      </c>
      <c r="F26" s="8" t="s">
        <v>17</v>
      </c>
      <c r="G26" s="9" t="s">
        <v>171</v>
      </c>
      <c r="H26" s="7" t="s">
        <v>18</v>
      </c>
      <c r="I26" s="9" t="s">
        <v>52</v>
      </c>
      <c r="J26" s="9"/>
      <c r="K26" s="6" t="s">
        <v>188</v>
      </c>
      <c r="L26" s="7" t="str">
        <f>"52,8320"</f>
        <v>52,8320</v>
      </c>
      <c r="M26" s="8" t="s">
        <v>27</v>
      </c>
    </row>
    <row r="28" spans="1:12" ht="15">
      <c r="A28" s="40" t="s">
        <v>46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 ht="12.75">
      <c r="A29" s="10" t="s">
        <v>189</v>
      </c>
      <c r="B29" s="11" t="s">
        <v>190</v>
      </c>
      <c r="C29" s="11" t="s">
        <v>191</v>
      </c>
      <c r="D29" s="11" t="str">
        <f>"0,7337"</f>
        <v>0,7337</v>
      </c>
      <c r="E29" s="12" t="s">
        <v>31</v>
      </c>
      <c r="F29" s="12" t="s">
        <v>192</v>
      </c>
      <c r="G29" s="11" t="s">
        <v>77</v>
      </c>
      <c r="H29" s="11" t="s">
        <v>63</v>
      </c>
      <c r="I29" s="11" t="s">
        <v>64</v>
      </c>
      <c r="J29" s="13"/>
      <c r="K29" s="10" t="s">
        <v>193</v>
      </c>
      <c r="L29" s="11" t="str">
        <f>"95,3810"</f>
        <v>95,3810</v>
      </c>
      <c r="M29" s="12" t="s">
        <v>27</v>
      </c>
    </row>
    <row r="30" spans="1:13" ht="12.75">
      <c r="A30" s="18" t="s">
        <v>194</v>
      </c>
      <c r="B30" s="19" t="s">
        <v>195</v>
      </c>
      <c r="C30" s="19" t="s">
        <v>52</v>
      </c>
      <c r="D30" s="19" t="str">
        <f>"0,7258"</f>
        <v>0,7258</v>
      </c>
      <c r="E30" s="20" t="s">
        <v>31</v>
      </c>
      <c r="F30" s="20" t="s">
        <v>17</v>
      </c>
      <c r="G30" s="19" t="s">
        <v>77</v>
      </c>
      <c r="H30" s="21" t="s">
        <v>63</v>
      </c>
      <c r="I30" s="21" t="s">
        <v>63</v>
      </c>
      <c r="J30" s="21"/>
      <c r="K30" s="18" t="s">
        <v>196</v>
      </c>
      <c r="L30" s="19" t="str">
        <f>"87,0960"</f>
        <v>87,0960</v>
      </c>
      <c r="M30" s="20" t="s">
        <v>27</v>
      </c>
    </row>
    <row r="32" spans="1:12" ht="15">
      <c r="A32" s="40" t="s">
        <v>54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3" ht="12.75">
      <c r="A33" s="10" t="s">
        <v>197</v>
      </c>
      <c r="B33" s="11" t="s">
        <v>198</v>
      </c>
      <c r="C33" s="11" t="s">
        <v>184</v>
      </c>
      <c r="D33" s="11" t="str">
        <f>"0,6828"</f>
        <v>0,6828</v>
      </c>
      <c r="E33" s="12" t="s">
        <v>31</v>
      </c>
      <c r="F33" s="12" t="s">
        <v>17</v>
      </c>
      <c r="G33" s="13" t="s">
        <v>34</v>
      </c>
      <c r="H33" s="11" t="s">
        <v>199</v>
      </c>
      <c r="I33" s="13" t="s">
        <v>24</v>
      </c>
      <c r="J33" s="13"/>
      <c r="K33" s="10" t="s">
        <v>200</v>
      </c>
      <c r="L33" s="11" t="str">
        <f>"63,1590"</f>
        <v>63,1590</v>
      </c>
      <c r="M33" s="12" t="s">
        <v>27</v>
      </c>
    </row>
    <row r="34" spans="1:13" ht="12.75">
      <c r="A34" s="14" t="s">
        <v>201</v>
      </c>
      <c r="B34" s="15" t="s">
        <v>202</v>
      </c>
      <c r="C34" s="15" t="s">
        <v>203</v>
      </c>
      <c r="D34" s="15" t="str">
        <f>"0,6805"</f>
        <v>0,6805</v>
      </c>
      <c r="E34" s="16" t="s">
        <v>31</v>
      </c>
      <c r="F34" s="16" t="s">
        <v>204</v>
      </c>
      <c r="G34" s="15" t="s">
        <v>205</v>
      </c>
      <c r="H34" s="15" t="s">
        <v>65</v>
      </c>
      <c r="I34" s="15" t="s">
        <v>206</v>
      </c>
      <c r="J34" s="17"/>
      <c r="K34" s="14" t="s">
        <v>207</v>
      </c>
      <c r="L34" s="15" t="str">
        <f>"93,5687"</f>
        <v>93,5687</v>
      </c>
      <c r="M34" s="16" t="s">
        <v>27</v>
      </c>
    </row>
    <row r="35" spans="1:13" ht="12.75">
      <c r="A35" s="14" t="s">
        <v>208</v>
      </c>
      <c r="B35" s="15" t="s">
        <v>209</v>
      </c>
      <c r="C35" s="15" t="s">
        <v>210</v>
      </c>
      <c r="D35" s="15" t="str">
        <f>"0,6680"</f>
        <v>0,6680</v>
      </c>
      <c r="E35" s="16" t="s">
        <v>31</v>
      </c>
      <c r="F35" s="16" t="s">
        <v>17</v>
      </c>
      <c r="G35" s="17" t="s">
        <v>63</v>
      </c>
      <c r="H35" s="15" t="s">
        <v>63</v>
      </c>
      <c r="I35" s="17" t="s">
        <v>65</v>
      </c>
      <c r="J35" s="17"/>
      <c r="K35" s="14" t="s">
        <v>211</v>
      </c>
      <c r="L35" s="15" t="str">
        <f>"83,5000"</f>
        <v>83,5000</v>
      </c>
      <c r="M35" s="16" t="s">
        <v>212</v>
      </c>
    </row>
    <row r="36" spans="1:13" ht="12.75">
      <c r="A36" s="18" t="s">
        <v>213</v>
      </c>
      <c r="B36" s="19" t="s">
        <v>214</v>
      </c>
      <c r="C36" s="19" t="s">
        <v>215</v>
      </c>
      <c r="D36" s="19" t="str">
        <f>"0,6767"</f>
        <v>0,6767</v>
      </c>
      <c r="E36" s="20" t="s">
        <v>31</v>
      </c>
      <c r="F36" s="20" t="s">
        <v>17</v>
      </c>
      <c r="G36" s="21" t="s">
        <v>50</v>
      </c>
      <c r="H36" s="21" t="s">
        <v>216</v>
      </c>
      <c r="I36" s="21"/>
      <c r="J36" s="21"/>
      <c r="K36" s="18" t="s">
        <v>59</v>
      </c>
      <c r="L36" s="19" t="str">
        <f>"0,0000"</f>
        <v>0,0000</v>
      </c>
      <c r="M36" s="20" t="s">
        <v>27</v>
      </c>
    </row>
    <row r="38" spans="1:12" ht="15">
      <c r="A38" s="40" t="s">
        <v>60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3" ht="12.75">
      <c r="A39" s="10" t="s">
        <v>217</v>
      </c>
      <c r="B39" s="11" t="s">
        <v>218</v>
      </c>
      <c r="C39" s="11" t="s">
        <v>219</v>
      </c>
      <c r="D39" s="11" t="str">
        <f>"0,6268"</f>
        <v>0,6268</v>
      </c>
      <c r="E39" s="12" t="s">
        <v>31</v>
      </c>
      <c r="F39" s="12" t="s">
        <v>179</v>
      </c>
      <c r="G39" s="11" t="s">
        <v>68</v>
      </c>
      <c r="H39" s="11" t="s">
        <v>69</v>
      </c>
      <c r="I39" s="11" t="s">
        <v>220</v>
      </c>
      <c r="J39" s="13"/>
      <c r="K39" s="10" t="s">
        <v>221</v>
      </c>
      <c r="L39" s="11" t="str">
        <f>"92,4530"</f>
        <v>92,4530</v>
      </c>
      <c r="M39" s="12" t="s">
        <v>27</v>
      </c>
    </row>
    <row r="40" spans="1:13" ht="12.75">
      <c r="A40" s="14" t="s">
        <v>222</v>
      </c>
      <c r="B40" s="15" t="s">
        <v>223</v>
      </c>
      <c r="C40" s="15" t="s">
        <v>224</v>
      </c>
      <c r="D40" s="15" t="str">
        <f>"0,6312"</f>
        <v>0,6312</v>
      </c>
      <c r="E40" s="16" t="s">
        <v>225</v>
      </c>
      <c r="F40" s="16" t="s">
        <v>226</v>
      </c>
      <c r="G40" s="15" t="s">
        <v>94</v>
      </c>
      <c r="H40" s="15" t="s">
        <v>227</v>
      </c>
      <c r="I40" s="17" t="s">
        <v>74</v>
      </c>
      <c r="J40" s="17"/>
      <c r="K40" s="14" t="s">
        <v>228</v>
      </c>
      <c r="L40" s="15" t="str">
        <f>"107,3040"</f>
        <v>107,3040</v>
      </c>
      <c r="M40" s="16" t="s">
        <v>27</v>
      </c>
    </row>
    <row r="41" spans="1:13" ht="12.75">
      <c r="A41" s="14" t="s">
        <v>229</v>
      </c>
      <c r="B41" s="15" t="s">
        <v>230</v>
      </c>
      <c r="C41" s="15" t="s">
        <v>231</v>
      </c>
      <c r="D41" s="15" t="str">
        <f>"0,6219"</f>
        <v>0,6219</v>
      </c>
      <c r="E41" s="16" t="s">
        <v>16</v>
      </c>
      <c r="F41" s="16" t="s">
        <v>232</v>
      </c>
      <c r="G41" s="15" t="s">
        <v>92</v>
      </c>
      <c r="H41" s="17" t="s">
        <v>93</v>
      </c>
      <c r="I41" s="17" t="s">
        <v>93</v>
      </c>
      <c r="J41" s="17"/>
      <c r="K41" s="14" t="s">
        <v>233</v>
      </c>
      <c r="L41" s="15" t="str">
        <f>"96,3945"</f>
        <v>96,3945</v>
      </c>
      <c r="M41" s="16" t="s">
        <v>27</v>
      </c>
    </row>
    <row r="42" spans="1:13" ht="12.75">
      <c r="A42" s="14" t="s">
        <v>234</v>
      </c>
      <c r="B42" s="15" t="s">
        <v>235</v>
      </c>
      <c r="C42" s="15" t="s">
        <v>236</v>
      </c>
      <c r="D42" s="15" t="str">
        <f>"0,6412"</f>
        <v>0,6412</v>
      </c>
      <c r="E42" s="16" t="s">
        <v>237</v>
      </c>
      <c r="F42" s="16" t="s">
        <v>17</v>
      </c>
      <c r="G42" s="15" t="s">
        <v>51</v>
      </c>
      <c r="H42" s="17" t="s">
        <v>77</v>
      </c>
      <c r="I42" s="17" t="s">
        <v>77</v>
      </c>
      <c r="J42" s="17"/>
      <c r="K42" s="14" t="s">
        <v>238</v>
      </c>
      <c r="L42" s="15" t="str">
        <f>"73,7380"</f>
        <v>73,7380</v>
      </c>
      <c r="M42" s="16" t="s">
        <v>27</v>
      </c>
    </row>
    <row r="43" spans="1:13" ht="12.75">
      <c r="A43" s="18" t="s">
        <v>239</v>
      </c>
      <c r="B43" s="19" t="s">
        <v>240</v>
      </c>
      <c r="C43" s="19" t="s">
        <v>241</v>
      </c>
      <c r="D43" s="19" t="str">
        <f>"1,0953"</f>
        <v>1,0953</v>
      </c>
      <c r="E43" s="20" t="s">
        <v>31</v>
      </c>
      <c r="F43" s="20" t="s">
        <v>242</v>
      </c>
      <c r="G43" s="19" t="s">
        <v>49</v>
      </c>
      <c r="H43" s="19" t="s">
        <v>243</v>
      </c>
      <c r="I43" s="19" t="s">
        <v>50</v>
      </c>
      <c r="J43" s="21"/>
      <c r="K43" s="18" t="s">
        <v>244</v>
      </c>
      <c r="L43" s="19" t="str">
        <f>"120,4825"</f>
        <v>120,4825</v>
      </c>
      <c r="M43" s="20" t="s">
        <v>27</v>
      </c>
    </row>
    <row r="45" spans="1:12" ht="15">
      <c r="A45" s="40" t="s">
        <v>71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3" ht="12.75">
      <c r="A46" s="10" t="s">
        <v>245</v>
      </c>
      <c r="B46" s="11" t="s">
        <v>246</v>
      </c>
      <c r="C46" s="11" t="s">
        <v>247</v>
      </c>
      <c r="D46" s="11" t="str">
        <f>"0,6031"</f>
        <v>0,6031</v>
      </c>
      <c r="E46" s="12" t="s">
        <v>31</v>
      </c>
      <c r="F46" s="12" t="s">
        <v>17</v>
      </c>
      <c r="G46" s="13" t="s">
        <v>25</v>
      </c>
      <c r="H46" s="11" t="s">
        <v>25</v>
      </c>
      <c r="I46" s="13" t="s">
        <v>248</v>
      </c>
      <c r="J46" s="13"/>
      <c r="K46" s="10" t="s">
        <v>249</v>
      </c>
      <c r="L46" s="11" t="str">
        <f>"60,3100"</f>
        <v>60,3100</v>
      </c>
      <c r="M46" s="12" t="s">
        <v>27</v>
      </c>
    </row>
    <row r="47" spans="1:13" ht="12.75">
      <c r="A47" s="14" t="s">
        <v>250</v>
      </c>
      <c r="B47" s="15" t="s">
        <v>251</v>
      </c>
      <c r="C47" s="15" t="s">
        <v>252</v>
      </c>
      <c r="D47" s="15" t="str">
        <f>"0,5914"</f>
        <v>0,5914</v>
      </c>
      <c r="E47" s="16" t="s">
        <v>31</v>
      </c>
      <c r="F47" s="16" t="s">
        <v>17</v>
      </c>
      <c r="G47" s="15" t="s">
        <v>69</v>
      </c>
      <c r="H47" s="17" t="s">
        <v>253</v>
      </c>
      <c r="I47" s="17" t="s">
        <v>253</v>
      </c>
      <c r="J47" s="17"/>
      <c r="K47" s="14" t="s">
        <v>254</v>
      </c>
      <c r="L47" s="15" t="str">
        <f>"85,7530"</f>
        <v>85,7530</v>
      </c>
      <c r="M47" s="16" t="s">
        <v>27</v>
      </c>
    </row>
    <row r="48" spans="1:13" ht="12.75">
      <c r="A48" s="14" t="s">
        <v>255</v>
      </c>
      <c r="B48" s="15" t="s">
        <v>256</v>
      </c>
      <c r="C48" s="15" t="s">
        <v>257</v>
      </c>
      <c r="D48" s="15" t="str">
        <f>"0,5935"</f>
        <v>0,5935</v>
      </c>
      <c r="E48" s="16" t="s">
        <v>31</v>
      </c>
      <c r="F48" s="16" t="s">
        <v>258</v>
      </c>
      <c r="G48" s="15" t="s">
        <v>205</v>
      </c>
      <c r="H48" s="15" t="s">
        <v>259</v>
      </c>
      <c r="I48" s="15" t="s">
        <v>206</v>
      </c>
      <c r="J48" s="17"/>
      <c r="K48" s="14" t="s">
        <v>207</v>
      </c>
      <c r="L48" s="15" t="str">
        <f>"81,6063"</f>
        <v>81,6063</v>
      </c>
      <c r="M48" s="16" t="s">
        <v>27</v>
      </c>
    </row>
    <row r="49" spans="1:13" ht="12.75">
      <c r="A49" s="14" t="s">
        <v>260</v>
      </c>
      <c r="B49" s="15" t="s">
        <v>261</v>
      </c>
      <c r="C49" s="15" t="s">
        <v>23</v>
      </c>
      <c r="D49" s="15" t="str">
        <f>"0,5956"</f>
        <v>0,5956</v>
      </c>
      <c r="E49" s="16" t="s">
        <v>31</v>
      </c>
      <c r="F49" s="16" t="s">
        <v>262</v>
      </c>
      <c r="G49" s="15" t="s">
        <v>205</v>
      </c>
      <c r="H49" s="15" t="s">
        <v>259</v>
      </c>
      <c r="I49" s="17" t="s">
        <v>65</v>
      </c>
      <c r="J49" s="17"/>
      <c r="K49" s="14" t="s">
        <v>263</v>
      </c>
      <c r="L49" s="15" t="str">
        <f>"78,9170"</f>
        <v>78,9170</v>
      </c>
      <c r="M49" s="16" t="s">
        <v>27</v>
      </c>
    </row>
    <row r="50" spans="1:13" ht="12.75">
      <c r="A50" s="14" t="s">
        <v>264</v>
      </c>
      <c r="B50" s="15" t="s">
        <v>265</v>
      </c>
      <c r="C50" s="15" t="s">
        <v>266</v>
      </c>
      <c r="D50" s="15" t="str">
        <f>"0,5943"</f>
        <v>0,5943</v>
      </c>
      <c r="E50" s="16" t="s">
        <v>31</v>
      </c>
      <c r="F50" s="16" t="s">
        <v>17</v>
      </c>
      <c r="G50" s="15" t="s">
        <v>63</v>
      </c>
      <c r="H50" s="17" t="s">
        <v>64</v>
      </c>
      <c r="I50" s="17" t="s">
        <v>64</v>
      </c>
      <c r="J50" s="17"/>
      <c r="K50" s="14" t="s">
        <v>211</v>
      </c>
      <c r="L50" s="15" t="str">
        <f>"74,2875"</f>
        <v>74,2875</v>
      </c>
      <c r="M50" s="16" t="s">
        <v>27</v>
      </c>
    </row>
    <row r="51" spans="1:13" ht="12.75">
      <c r="A51" s="14" t="s">
        <v>267</v>
      </c>
      <c r="B51" s="15" t="s">
        <v>268</v>
      </c>
      <c r="C51" s="15" t="s">
        <v>269</v>
      </c>
      <c r="D51" s="15" t="str">
        <f>"0,5947"</f>
        <v>0,5947</v>
      </c>
      <c r="E51" s="16" t="s">
        <v>31</v>
      </c>
      <c r="F51" s="16" t="s">
        <v>17</v>
      </c>
      <c r="G51" s="15" t="s">
        <v>51</v>
      </c>
      <c r="H51" s="15" t="s">
        <v>77</v>
      </c>
      <c r="I51" s="17" t="s">
        <v>259</v>
      </c>
      <c r="J51" s="17"/>
      <c r="K51" s="14" t="s">
        <v>196</v>
      </c>
      <c r="L51" s="15" t="str">
        <f>"71,3640"</f>
        <v>71,3640</v>
      </c>
      <c r="M51" s="16" t="s">
        <v>270</v>
      </c>
    </row>
    <row r="52" spans="1:13" ht="12.75">
      <c r="A52" s="18" t="s">
        <v>271</v>
      </c>
      <c r="B52" s="19" t="s">
        <v>272</v>
      </c>
      <c r="C52" s="19" t="s">
        <v>273</v>
      </c>
      <c r="D52" s="19" t="str">
        <f>"0,6059"</f>
        <v>0,6059</v>
      </c>
      <c r="E52" s="20" t="s">
        <v>31</v>
      </c>
      <c r="F52" s="20" t="s">
        <v>274</v>
      </c>
      <c r="G52" s="21" t="s">
        <v>259</v>
      </c>
      <c r="H52" s="21" t="s">
        <v>259</v>
      </c>
      <c r="I52" s="21" t="s">
        <v>259</v>
      </c>
      <c r="J52" s="21"/>
      <c r="K52" s="18" t="s">
        <v>59</v>
      </c>
      <c r="L52" s="19" t="str">
        <f>"0,0000"</f>
        <v>0,0000</v>
      </c>
      <c r="M52" s="20" t="s">
        <v>27</v>
      </c>
    </row>
    <row r="54" spans="1:12" ht="15">
      <c r="A54" s="40" t="s">
        <v>80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ht="12.75">
      <c r="A55" s="10" t="s">
        <v>275</v>
      </c>
      <c r="B55" s="11" t="s">
        <v>276</v>
      </c>
      <c r="C55" s="11" t="s">
        <v>277</v>
      </c>
      <c r="D55" s="11" t="str">
        <f>"0,5654"</f>
        <v>0,5654</v>
      </c>
      <c r="E55" s="12" t="s">
        <v>31</v>
      </c>
      <c r="F55" s="12" t="s">
        <v>84</v>
      </c>
      <c r="G55" s="11" t="s">
        <v>227</v>
      </c>
      <c r="H55" s="13" t="s">
        <v>278</v>
      </c>
      <c r="I55" s="13" t="s">
        <v>278</v>
      </c>
      <c r="J55" s="13"/>
      <c r="K55" s="10" t="s">
        <v>228</v>
      </c>
      <c r="L55" s="11" t="str">
        <f>"96,1180"</f>
        <v>96,1180</v>
      </c>
      <c r="M55" s="12" t="s">
        <v>27</v>
      </c>
    </row>
    <row r="56" spans="1:13" ht="12.75">
      <c r="A56" s="14" t="s">
        <v>279</v>
      </c>
      <c r="B56" s="15" t="s">
        <v>280</v>
      </c>
      <c r="C56" s="15" t="s">
        <v>281</v>
      </c>
      <c r="D56" s="15" t="str">
        <f>"0,5669"</f>
        <v>0,5669</v>
      </c>
      <c r="E56" s="16" t="s">
        <v>31</v>
      </c>
      <c r="F56" s="16" t="s">
        <v>17</v>
      </c>
      <c r="G56" s="15" t="s">
        <v>92</v>
      </c>
      <c r="H56" s="15" t="s">
        <v>93</v>
      </c>
      <c r="I56" s="17" t="s">
        <v>94</v>
      </c>
      <c r="J56" s="17"/>
      <c r="K56" s="14" t="s">
        <v>282</v>
      </c>
      <c r="L56" s="15" t="str">
        <f>"90,7040"</f>
        <v>90,7040</v>
      </c>
      <c r="M56" s="16" t="s">
        <v>27</v>
      </c>
    </row>
    <row r="57" spans="1:13" ht="12.75">
      <c r="A57" s="14" t="s">
        <v>283</v>
      </c>
      <c r="B57" s="15" t="s">
        <v>284</v>
      </c>
      <c r="C57" s="15" t="s">
        <v>285</v>
      </c>
      <c r="D57" s="15" t="str">
        <f>"0,5633"</f>
        <v>0,5633</v>
      </c>
      <c r="E57" s="16" t="s">
        <v>31</v>
      </c>
      <c r="F57" s="16" t="s">
        <v>286</v>
      </c>
      <c r="G57" s="15" t="s">
        <v>92</v>
      </c>
      <c r="H57" s="17" t="s">
        <v>287</v>
      </c>
      <c r="I57" s="17" t="s">
        <v>287</v>
      </c>
      <c r="J57" s="17"/>
      <c r="K57" s="14" t="s">
        <v>233</v>
      </c>
      <c r="L57" s="15" t="str">
        <f>"87,3115"</f>
        <v>87,3115</v>
      </c>
      <c r="M57" s="16" t="s">
        <v>27</v>
      </c>
    </row>
    <row r="58" spans="1:13" ht="12.75">
      <c r="A58" s="14" t="s">
        <v>288</v>
      </c>
      <c r="B58" s="15" t="s">
        <v>289</v>
      </c>
      <c r="C58" s="15" t="s">
        <v>290</v>
      </c>
      <c r="D58" s="15" t="str">
        <f>"0,5630"</f>
        <v>0,5630</v>
      </c>
      <c r="E58" s="16" t="s">
        <v>31</v>
      </c>
      <c r="F58" s="16" t="s">
        <v>17</v>
      </c>
      <c r="G58" s="17" t="s">
        <v>92</v>
      </c>
      <c r="H58" s="15" t="s">
        <v>92</v>
      </c>
      <c r="I58" s="17" t="s">
        <v>94</v>
      </c>
      <c r="J58" s="17"/>
      <c r="K58" s="14" t="s">
        <v>233</v>
      </c>
      <c r="L58" s="15" t="str">
        <f>"87,2650"</f>
        <v>87,2650</v>
      </c>
      <c r="M58" s="16" t="s">
        <v>27</v>
      </c>
    </row>
    <row r="59" spans="1:13" ht="12.75">
      <c r="A59" s="14" t="s">
        <v>291</v>
      </c>
      <c r="B59" s="15" t="s">
        <v>292</v>
      </c>
      <c r="C59" s="15" t="s">
        <v>293</v>
      </c>
      <c r="D59" s="15" t="str">
        <f>"0,5707"</f>
        <v>0,5707</v>
      </c>
      <c r="E59" s="16" t="s">
        <v>16</v>
      </c>
      <c r="F59" s="16" t="s">
        <v>294</v>
      </c>
      <c r="G59" s="17" t="s">
        <v>68</v>
      </c>
      <c r="H59" s="15" t="s">
        <v>68</v>
      </c>
      <c r="I59" s="15" t="s">
        <v>57</v>
      </c>
      <c r="J59" s="17"/>
      <c r="K59" s="14" t="s">
        <v>295</v>
      </c>
      <c r="L59" s="15" t="str">
        <f>"85,6050"</f>
        <v>85,6050</v>
      </c>
      <c r="M59" s="16" t="s">
        <v>27</v>
      </c>
    </row>
    <row r="60" spans="1:13" ht="12.75">
      <c r="A60" s="14" t="s">
        <v>296</v>
      </c>
      <c r="B60" s="15" t="s">
        <v>297</v>
      </c>
      <c r="C60" s="15" t="s">
        <v>298</v>
      </c>
      <c r="D60" s="15" t="str">
        <f>"0,5714"</f>
        <v>0,5714</v>
      </c>
      <c r="E60" s="16" t="s">
        <v>31</v>
      </c>
      <c r="F60" s="16" t="s">
        <v>299</v>
      </c>
      <c r="G60" s="15" t="s">
        <v>220</v>
      </c>
      <c r="H60" s="17" t="s">
        <v>92</v>
      </c>
      <c r="I60" s="17" t="s">
        <v>92</v>
      </c>
      <c r="J60" s="17"/>
      <c r="K60" s="14" t="s">
        <v>221</v>
      </c>
      <c r="L60" s="15" t="str">
        <f>"84,2815"</f>
        <v>84,2815</v>
      </c>
      <c r="M60" s="16" t="s">
        <v>27</v>
      </c>
    </row>
    <row r="61" spans="1:13" ht="12.75">
      <c r="A61" s="14" t="s">
        <v>300</v>
      </c>
      <c r="B61" s="15" t="s">
        <v>223</v>
      </c>
      <c r="C61" s="15" t="s">
        <v>301</v>
      </c>
      <c r="D61" s="15" t="str">
        <f>"0,5737"</f>
        <v>0,5737</v>
      </c>
      <c r="E61" s="16" t="s">
        <v>225</v>
      </c>
      <c r="F61" s="16" t="s">
        <v>302</v>
      </c>
      <c r="G61" s="17" t="s">
        <v>68</v>
      </c>
      <c r="H61" s="15" t="s">
        <v>68</v>
      </c>
      <c r="I61" s="17" t="s">
        <v>69</v>
      </c>
      <c r="J61" s="17"/>
      <c r="K61" s="14" t="s">
        <v>303</v>
      </c>
      <c r="L61" s="15" t="str">
        <f>"80,3180"</f>
        <v>80,3180</v>
      </c>
      <c r="M61" s="16" t="s">
        <v>27</v>
      </c>
    </row>
    <row r="62" spans="1:13" ht="12.75">
      <c r="A62" s="14" t="s">
        <v>304</v>
      </c>
      <c r="B62" s="15" t="s">
        <v>305</v>
      </c>
      <c r="C62" s="15" t="s">
        <v>306</v>
      </c>
      <c r="D62" s="15" t="str">
        <f>"0,5622"</f>
        <v>0,5622</v>
      </c>
      <c r="E62" s="16" t="s">
        <v>31</v>
      </c>
      <c r="F62" s="16" t="s">
        <v>17</v>
      </c>
      <c r="G62" s="17" t="s">
        <v>74</v>
      </c>
      <c r="H62" s="17" t="s">
        <v>74</v>
      </c>
      <c r="I62" s="17" t="s">
        <v>278</v>
      </c>
      <c r="J62" s="17"/>
      <c r="K62" s="14" t="s">
        <v>59</v>
      </c>
      <c r="L62" s="15" t="str">
        <f>"0,0000"</f>
        <v>0,0000</v>
      </c>
      <c r="M62" s="16" t="s">
        <v>27</v>
      </c>
    </row>
    <row r="63" spans="1:13" ht="12.75">
      <c r="A63" s="14" t="s">
        <v>307</v>
      </c>
      <c r="B63" s="15" t="s">
        <v>308</v>
      </c>
      <c r="C63" s="15" t="s">
        <v>309</v>
      </c>
      <c r="D63" s="15" t="str">
        <f>"0,5608"</f>
        <v>0,5608</v>
      </c>
      <c r="E63" s="16" t="s">
        <v>31</v>
      </c>
      <c r="F63" s="16" t="s">
        <v>17</v>
      </c>
      <c r="G63" s="17" t="s">
        <v>64</v>
      </c>
      <c r="H63" s="17" t="s">
        <v>65</v>
      </c>
      <c r="I63" s="17" t="s">
        <v>65</v>
      </c>
      <c r="J63" s="17"/>
      <c r="K63" s="14" t="s">
        <v>59</v>
      </c>
      <c r="L63" s="15" t="str">
        <f>"0,0000"</f>
        <v>0,0000</v>
      </c>
      <c r="M63" s="16" t="s">
        <v>27</v>
      </c>
    </row>
    <row r="64" spans="1:13" ht="12.75">
      <c r="A64" s="14" t="s">
        <v>310</v>
      </c>
      <c r="B64" s="15" t="s">
        <v>311</v>
      </c>
      <c r="C64" s="15" t="s">
        <v>312</v>
      </c>
      <c r="D64" s="15" t="str">
        <f>"0,5550"</f>
        <v>0,5550</v>
      </c>
      <c r="E64" s="16" t="s">
        <v>31</v>
      </c>
      <c r="F64" s="16" t="s">
        <v>17</v>
      </c>
      <c r="G64" s="17" t="s">
        <v>259</v>
      </c>
      <c r="H64" s="17" t="s">
        <v>259</v>
      </c>
      <c r="I64" s="17" t="s">
        <v>68</v>
      </c>
      <c r="J64" s="17"/>
      <c r="K64" s="14" t="s">
        <v>59</v>
      </c>
      <c r="L64" s="15" t="str">
        <f>"0,0000"</f>
        <v>0,0000</v>
      </c>
      <c r="M64" s="16" t="s">
        <v>27</v>
      </c>
    </row>
    <row r="65" spans="1:13" ht="12.75">
      <c r="A65" s="14" t="s">
        <v>313</v>
      </c>
      <c r="B65" s="15" t="s">
        <v>314</v>
      </c>
      <c r="C65" s="15" t="s">
        <v>315</v>
      </c>
      <c r="D65" s="15" t="str">
        <f>"0,5656"</f>
        <v>0,5656</v>
      </c>
      <c r="E65" s="16" t="s">
        <v>31</v>
      </c>
      <c r="F65" s="16" t="s">
        <v>316</v>
      </c>
      <c r="G65" s="15" t="s">
        <v>57</v>
      </c>
      <c r="H65" s="15" t="s">
        <v>92</v>
      </c>
      <c r="I65" s="17" t="s">
        <v>93</v>
      </c>
      <c r="J65" s="17"/>
      <c r="K65" s="14" t="s">
        <v>233</v>
      </c>
      <c r="L65" s="15" t="str">
        <f>"87,6667"</f>
        <v>87,6667</v>
      </c>
      <c r="M65" s="16" t="s">
        <v>27</v>
      </c>
    </row>
    <row r="66" spans="1:13" ht="12.75">
      <c r="A66" s="18" t="s">
        <v>288</v>
      </c>
      <c r="B66" s="19" t="s">
        <v>317</v>
      </c>
      <c r="C66" s="19" t="s">
        <v>290</v>
      </c>
      <c r="D66" s="19" t="str">
        <f>"0,5647"</f>
        <v>0,5647</v>
      </c>
      <c r="E66" s="20" t="s">
        <v>31</v>
      </c>
      <c r="F66" s="20" t="s">
        <v>17</v>
      </c>
      <c r="G66" s="21" t="s">
        <v>92</v>
      </c>
      <c r="H66" s="19" t="s">
        <v>92</v>
      </c>
      <c r="I66" s="21" t="s">
        <v>94</v>
      </c>
      <c r="J66" s="21"/>
      <c r="K66" s="18" t="s">
        <v>233</v>
      </c>
      <c r="L66" s="19" t="str">
        <f>"87,5268"</f>
        <v>87,5268</v>
      </c>
      <c r="M66" s="20" t="s">
        <v>27</v>
      </c>
    </row>
    <row r="68" spans="1:12" ht="15">
      <c r="A68" s="40" t="s">
        <v>318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3" ht="12.75">
      <c r="A69" s="10" t="s">
        <v>319</v>
      </c>
      <c r="B69" s="11" t="s">
        <v>320</v>
      </c>
      <c r="C69" s="11" t="s">
        <v>321</v>
      </c>
      <c r="D69" s="11" t="str">
        <f>"0,5376"</f>
        <v>0,5376</v>
      </c>
      <c r="E69" s="12" t="s">
        <v>31</v>
      </c>
      <c r="F69" s="12" t="s">
        <v>322</v>
      </c>
      <c r="G69" s="13" t="s">
        <v>323</v>
      </c>
      <c r="H69" s="13" t="s">
        <v>611</v>
      </c>
      <c r="I69" s="11" t="s">
        <v>323</v>
      </c>
      <c r="J69" s="13"/>
      <c r="K69" s="10" t="s">
        <v>324</v>
      </c>
      <c r="L69" s="11" t="str">
        <f>"110,2080"</f>
        <v>110,2080</v>
      </c>
      <c r="M69" s="12" t="s">
        <v>27</v>
      </c>
    </row>
    <row r="70" spans="1:13" ht="12.75">
      <c r="A70" s="18" t="s">
        <v>325</v>
      </c>
      <c r="B70" s="19" t="s">
        <v>326</v>
      </c>
      <c r="C70" s="19" t="s">
        <v>327</v>
      </c>
      <c r="D70" s="19" t="str">
        <f>"0,5431"</f>
        <v>0,5431</v>
      </c>
      <c r="E70" s="20" t="s">
        <v>31</v>
      </c>
      <c r="F70" s="20" t="s">
        <v>192</v>
      </c>
      <c r="G70" s="21" t="s">
        <v>68</v>
      </c>
      <c r="H70" s="19" t="s">
        <v>220</v>
      </c>
      <c r="I70" s="19" t="s">
        <v>227</v>
      </c>
      <c r="J70" s="21"/>
      <c r="K70" s="18" t="s">
        <v>228</v>
      </c>
      <c r="L70" s="19" t="str">
        <f>"92,3270"</f>
        <v>92,3270</v>
      </c>
      <c r="M70" s="20" t="s">
        <v>27</v>
      </c>
    </row>
    <row r="72" spans="1:12" ht="15">
      <c r="A72" s="40" t="s">
        <v>86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3" ht="12.75">
      <c r="A73" s="10" t="s">
        <v>328</v>
      </c>
      <c r="B73" s="11" t="s">
        <v>329</v>
      </c>
      <c r="C73" s="11" t="s">
        <v>330</v>
      </c>
      <c r="D73" s="11" t="str">
        <f>"0,5246"</f>
        <v>0,5246</v>
      </c>
      <c r="E73" s="12" t="s">
        <v>237</v>
      </c>
      <c r="F73" s="12" t="s">
        <v>192</v>
      </c>
      <c r="G73" s="11" t="s">
        <v>94</v>
      </c>
      <c r="H73" s="11" t="s">
        <v>227</v>
      </c>
      <c r="I73" s="13" t="s">
        <v>74</v>
      </c>
      <c r="J73" s="13"/>
      <c r="K73" s="10" t="s">
        <v>228</v>
      </c>
      <c r="L73" s="11" t="str">
        <f>"89,1820"</f>
        <v>89,1820</v>
      </c>
      <c r="M73" s="12" t="s">
        <v>27</v>
      </c>
    </row>
    <row r="74" spans="1:13" ht="12.75">
      <c r="A74" s="14" t="s">
        <v>331</v>
      </c>
      <c r="B74" s="15" t="s">
        <v>332</v>
      </c>
      <c r="C74" s="15" t="s">
        <v>333</v>
      </c>
      <c r="D74" s="15" t="str">
        <f>"0,5288"</f>
        <v>0,5288</v>
      </c>
      <c r="E74" s="16" t="s">
        <v>31</v>
      </c>
      <c r="F74" s="16" t="s">
        <v>17</v>
      </c>
      <c r="G74" s="15" t="s">
        <v>93</v>
      </c>
      <c r="H74" s="17" t="s">
        <v>334</v>
      </c>
      <c r="I74" s="17" t="s">
        <v>335</v>
      </c>
      <c r="J74" s="17"/>
      <c r="K74" s="14" t="s">
        <v>282</v>
      </c>
      <c r="L74" s="15" t="str">
        <f>"84,6080"</f>
        <v>84,6080</v>
      </c>
      <c r="M74" s="16" t="s">
        <v>27</v>
      </c>
    </row>
    <row r="75" spans="1:13" ht="12.75">
      <c r="A75" s="14" t="s">
        <v>336</v>
      </c>
      <c r="B75" s="15" t="s">
        <v>337</v>
      </c>
      <c r="C75" s="15" t="s">
        <v>338</v>
      </c>
      <c r="D75" s="15" t="str">
        <f>"0,5311"</f>
        <v>0,5311</v>
      </c>
      <c r="E75" s="16" t="s">
        <v>31</v>
      </c>
      <c r="F75" s="16" t="s">
        <v>17</v>
      </c>
      <c r="G75" s="17" t="s">
        <v>93</v>
      </c>
      <c r="H75" s="17" t="s">
        <v>227</v>
      </c>
      <c r="I75" s="17" t="s">
        <v>227</v>
      </c>
      <c r="J75" s="17"/>
      <c r="K75" s="14" t="s">
        <v>59</v>
      </c>
      <c r="L75" s="15" t="str">
        <f>"0,0000"</f>
        <v>0,0000</v>
      </c>
      <c r="M75" s="16" t="s">
        <v>27</v>
      </c>
    </row>
    <row r="76" spans="1:13" ht="12.75">
      <c r="A76" s="14" t="s">
        <v>328</v>
      </c>
      <c r="B76" s="15" t="s">
        <v>339</v>
      </c>
      <c r="C76" s="15" t="s">
        <v>330</v>
      </c>
      <c r="D76" s="15" t="str">
        <f>"0,5262"</f>
        <v>0,5262</v>
      </c>
      <c r="E76" s="16" t="s">
        <v>31</v>
      </c>
      <c r="F76" s="16" t="s">
        <v>192</v>
      </c>
      <c r="G76" s="15" t="s">
        <v>94</v>
      </c>
      <c r="H76" s="15" t="s">
        <v>227</v>
      </c>
      <c r="I76" s="17" t="s">
        <v>74</v>
      </c>
      <c r="J76" s="17"/>
      <c r="K76" s="14" t="s">
        <v>228</v>
      </c>
      <c r="L76" s="15" t="str">
        <f>"89,4496"</f>
        <v>89,4496</v>
      </c>
      <c r="M76" s="16" t="s">
        <v>27</v>
      </c>
    </row>
    <row r="77" spans="1:13" ht="12.75">
      <c r="A77" s="14" t="s">
        <v>340</v>
      </c>
      <c r="B77" s="15" t="s">
        <v>341</v>
      </c>
      <c r="C77" s="15" t="s">
        <v>342</v>
      </c>
      <c r="D77" s="15" t="str">
        <f>"0,5958"</f>
        <v>0,5958</v>
      </c>
      <c r="E77" s="16" t="s">
        <v>343</v>
      </c>
      <c r="F77" s="16" t="s">
        <v>17</v>
      </c>
      <c r="G77" s="15" t="s">
        <v>227</v>
      </c>
      <c r="H77" s="17" t="s">
        <v>335</v>
      </c>
      <c r="I77" s="17" t="s">
        <v>335</v>
      </c>
      <c r="J77" s="17"/>
      <c r="K77" s="14" t="s">
        <v>228</v>
      </c>
      <c r="L77" s="15" t="str">
        <f>"101,2873"</f>
        <v>101,2873</v>
      </c>
      <c r="M77" s="16" t="s">
        <v>27</v>
      </c>
    </row>
    <row r="78" spans="1:13" ht="12.75">
      <c r="A78" s="18" t="s">
        <v>344</v>
      </c>
      <c r="B78" s="19" t="s">
        <v>345</v>
      </c>
      <c r="C78" s="19" t="s">
        <v>346</v>
      </c>
      <c r="D78" s="19" t="str">
        <f>"0,6971"</f>
        <v>0,6971</v>
      </c>
      <c r="E78" s="20" t="s">
        <v>343</v>
      </c>
      <c r="F78" s="20" t="s">
        <v>17</v>
      </c>
      <c r="G78" s="19" t="s">
        <v>227</v>
      </c>
      <c r="H78" s="21" t="s">
        <v>335</v>
      </c>
      <c r="I78" s="21" t="s">
        <v>335</v>
      </c>
      <c r="J78" s="21"/>
      <c r="K78" s="18" t="s">
        <v>228</v>
      </c>
      <c r="L78" s="19" t="str">
        <f>"118,4990"</f>
        <v>118,4990</v>
      </c>
      <c r="M78" s="20" t="s">
        <v>27</v>
      </c>
    </row>
    <row r="80" ht="15">
      <c r="E80" s="22" t="s">
        <v>101</v>
      </c>
    </row>
    <row r="81" ht="15">
      <c r="E81" s="22" t="s">
        <v>102</v>
      </c>
    </row>
    <row r="82" ht="15">
      <c r="E82" s="22" t="s">
        <v>103</v>
      </c>
    </row>
    <row r="83" ht="15">
      <c r="E83" s="22" t="s">
        <v>104</v>
      </c>
    </row>
    <row r="84" ht="15">
      <c r="E84" s="22" t="s">
        <v>104</v>
      </c>
    </row>
    <row r="85" ht="15">
      <c r="E85" s="22" t="s">
        <v>105</v>
      </c>
    </row>
    <row r="86" ht="15">
      <c r="E86" s="22"/>
    </row>
    <row r="88" spans="1:2" ht="17.25">
      <c r="A88" s="23" t="s">
        <v>106</v>
      </c>
      <c r="B88" s="24"/>
    </row>
    <row r="89" spans="1:2" ht="15">
      <c r="A89" s="25" t="s">
        <v>107</v>
      </c>
      <c r="B89" s="26"/>
    </row>
    <row r="90" spans="1:2" ht="14.25">
      <c r="A90" s="28" t="s">
        <v>108</v>
      </c>
      <c r="B90" s="29"/>
    </row>
    <row r="91" spans="1:5" ht="13.5">
      <c r="A91" s="30" t="s">
        <v>109</v>
      </c>
      <c r="B91" s="30" t="s">
        <v>110</v>
      </c>
      <c r="C91" s="30" t="s">
        <v>111</v>
      </c>
      <c r="D91" s="30" t="s">
        <v>112</v>
      </c>
      <c r="E91" s="30" t="s">
        <v>113</v>
      </c>
    </row>
    <row r="92" spans="1:5" ht="12.75">
      <c r="A92" s="27" t="s">
        <v>157</v>
      </c>
      <c r="B92" s="1" t="s">
        <v>114</v>
      </c>
      <c r="C92" s="1" t="s">
        <v>347</v>
      </c>
      <c r="D92" s="1" t="s">
        <v>52</v>
      </c>
      <c r="E92" s="4" t="s">
        <v>348</v>
      </c>
    </row>
    <row r="93" spans="1:5" ht="12.75">
      <c r="A93" s="27" t="s">
        <v>147</v>
      </c>
      <c r="B93" s="1" t="s">
        <v>114</v>
      </c>
      <c r="C93" s="1" t="s">
        <v>349</v>
      </c>
      <c r="D93" s="1" t="s">
        <v>22</v>
      </c>
      <c r="E93" s="4" t="s">
        <v>350</v>
      </c>
    </row>
    <row r="94" spans="1:5" ht="12.75">
      <c r="A94" s="27" t="s">
        <v>161</v>
      </c>
      <c r="B94" s="1" t="s">
        <v>114</v>
      </c>
      <c r="C94" s="1" t="s">
        <v>347</v>
      </c>
      <c r="D94" s="1" t="s">
        <v>164</v>
      </c>
      <c r="E94" s="4" t="s">
        <v>351</v>
      </c>
    </row>
    <row r="95" spans="1:5" ht="12.75">
      <c r="A95" s="27" t="s">
        <v>167</v>
      </c>
      <c r="B95" s="1" t="s">
        <v>114</v>
      </c>
      <c r="C95" s="1" t="s">
        <v>347</v>
      </c>
      <c r="D95" s="1" t="s">
        <v>172</v>
      </c>
      <c r="E95" s="4" t="s">
        <v>352</v>
      </c>
    </row>
    <row r="96" spans="1:5" ht="12.75">
      <c r="A96" s="27" t="s">
        <v>151</v>
      </c>
      <c r="B96" s="1" t="s">
        <v>114</v>
      </c>
      <c r="C96" s="1" t="s">
        <v>126</v>
      </c>
      <c r="D96" s="1" t="s">
        <v>21</v>
      </c>
      <c r="E96" s="4" t="s">
        <v>353</v>
      </c>
    </row>
    <row r="97" spans="1:5" ht="12.75">
      <c r="A97" s="27" t="s">
        <v>39</v>
      </c>
      <c r="B97" s="1" t="s">
        <v>114</v>
      </c>
      <c r="C97" s="1" t="s">
        <v>121</v>
      </c>
      <c r="D97" s="1" t="s">
        <v>43</v>
      </c>
      <c r="E97" s="4" t="s">
        <v>354</v>
      </c>
    </row>
    <row r="99" spans="1:2" ht="14.25">
      <c r="A99" s="28" t="s">
        <v>124</v>
      </c>
      <c r="B99" s="29"/>
    </row>
    <row r="100" spans="1:5" ht="13.5">
      <c r="A100" s="30" t="s">
        <v>109</v>
      </c>
      <c r="B100" s="30" t="s">
        <v>110</v>
      </c>
      <c r="C100" s="30" t="s">
        <v>111</v>
      </c>
      <c r="D100" s="30" t="s">
        <v>112</v>
      </c>
      <c r="E100" s="30" t="s">
        <v>113</v>
      </c>
    </row>
    <row r="101" spans="1:5" ht="12.75">
      <c r="A101" s="27" t="s">
        <v>176</v>
      </c>
      <c r="B101" s="1" t="s">
        <v>125</v>
      </c>
      <c r="C101" s="1" t="s">
        <v>355</v>
      </c>
      <c r="D101" s="1" t="s">
        <v>34</v>
      </c>
      <c r="E101" s="4" t="s">
        <v>356</v>
      </c>
    </row>
    <row r="104" spans="1:2" ht="15">
      <c r="A104" s="25" t="s">
        <v>129</v>
      </c>
      <c r="B104" s="26"/>
    </row>
    <row r="105" spans="1:2" ht="14.25">
      <c r="A105" s="28" t="s">
        <v>357</v>
      </c>
      <c r="B105" s="29"/>
    </row>
    <row r="106" spans="1:5" ht="13.5">
      <c r="A106" s="30" t="s">
        <v>109</v>
      </c>
      <c r="B106" s="30" t="s">
        <v>110</v>
      </c>
      <c r="C106" s="30" t="s">
        <v>111</v>
      </c>
      <c r="D106" s="30" t="s">
        <v>112</v>
      </c>
      <c r="E106" s="30" t="s">
        <v>113</v>
      </c>
    </row>
    <row r="107" spans="1:5" ht="12.75">
      <c r="A107" s="27" t="s">
        <v>197</v>
      </c>
      <c r="B107" s="1" t="s">
        <v>358</v>
      </c>
      <c r="C107" s="1" t="s">
        <v>355</v>
      </c>
      <c r="D107" s="1" t="s">
        <v>199</v>
      </c>
      <c r="E107" s="4" t="s">
        <v>359</v>
      </c>
    </row>
    <row r="108" spans="1:5" ht="12.75">
      <c r="A108" s="27" t="s">
        <v>245</v>
      </c>
      <c r="B108" s="1" t="s">
        <v>358</v>
      </c>
      <c r="C108" s="1" t="s">
        <v>135</v>
      </c>
      <c r="D108" s="1" t="s">
        <v>25</v>
      </c>
      <c r="E108" s="4" t="s">
        <v>360</v>
      </c>
    </row>
    <row r="110" spans="1:2" ht="14.25">
      <c r="A110" s="28" t="s">
        <v>130</v>
      </c>
      <c r="B110" s="29"/>
    </row>
    <row r="111" spans="1:5" ht="13.5">
      <c r="A111" s="30" t="s">
        <v>109</v>
      </c>
      <c r="B111" s="30" t="s">
        <v>110</v>
      </c>
      <c r="C111" s="30" t="s">
        <v>111</v>
      </c>
      <c r="D111" s="30" t="s">
        <v>112</v>
      </c>
      <c r="E111" s="30" t="s">
        <v>113</v>
      </c>
    </row>
    <row r="112" spans="1:5" ht="12.75">
      <c r="A112" s="27" t="s">
        <v>217</v>
      </c>
      <c r="B112" s="1" t="s">
        <v>131</v>
      </c>
      <c r="C112" s="1" t="s">
        <v>138</v>
      </c>
      <c r="D112" s="1" t="s">
        <v>220</v>
      </c>
      <c r="E112" s="4" t="s">
        <v>361</v>
      </c>
    </row>
    <row r="113" spans="1:5" ht="12.75">
      <c r="A113" s="27" t="s">
        <v>250</v>
      </c>
      <c r="B113" s="1" t="s">
        <v>131</v>
      </c>
      <c r="C113" s="1" t="s">
        <v>135</v>
      </c>
      <c r="D113" s="1" t="s">
        <v>69</v>
      </c>
      <c r="E113" s="4" t="s">
        <v>362</v>
      </c>
    </row>
    <row r="114" spans="1:5" ht="12.75">
      <c r="A114" s="27" t="s">
        <v>181</v>
      </c>
      <c r="B114" s="1" t="s">
        <v>131</v>
      </c>
      <c r="C114" s="1" t="s">
        <v>347</v>
      </c>
      <c r="D114" s="1" t="s">
        <v>33</v>
      </c>
      <c r="E114" s="4" t="s">
        <v>363</v>
      </c>
    </row>
    <row r="116" spans="1:2" ht="14.25">
      <c r="A116" s="28" t="s">
        <v>108</v>
      </c>
      <c r="B116" s="29"/>
    </row>
    <row r="117" spans="1:5" ht="13.5">
      <c r="A117" s="30" t="s">
        <v>109</v>
      </c>
      <c r="B117" s="30" t="s">
        <v>110</v>
      </c>
      <c r="C117" s="30" t="s">
        <v>111</v>
      </c>
      <c r="D117" s="30" t="s">
        <v>112</v>
      </c>
      <c r="E117" s="30" t="s">
        <v>113</v>
      </c>
    </row>
    <row r="118" spans="1:5" ht="12.75">
      <c r="A118" s="27" t="s">
        <v>319</v>
      </c>
      <c r="B118" s="1" t="s">
        <v>114</v>
      </c>
      <c r="C118" s="1" t="s">
        <v>364</v>
      </c>
      <c r="D118" s="1" t="s">
        <v>323</v>
      </c>
      <c r="E118" s="4" t="s">
        <v>365</v>
      </c>
    </row>
    <row r="119" spans="1:5" ht="12.75">
      <c r="A119" s="27" t="s">
        <v>222</v>
      </c>
      <c r="B119" s="1" t="s">
        <v>114</v>
      </c>
      <c r="C119" s="1" t="s">
        <v>138</v>
      </c>
      <c r="D119" s="1" t="s">
        <v>227</v>
      </c>
      <c r="E119" s="4" t="s">
        <v>366</v>
      </c>
    </row>
    <row r="120" spans="1:5" ht="12.75">
      <c r="A120" s="27" t="s">
        <v>229</v>
      </c>
      <c r="B120" s="1" t="s">
        <v>114</v>
      </c>
      <c r="C120" s="1" t="s">
        <v>138</v>
      </c>
      <c r="D120" s="1" t="s">
        <v>92</v>
      </c>
      <c r="E120" s="4" t="s">
        <v>367</v>
      </c>
    </row>
    <row r="121" spans="1:5" ht="12.75">
      <c r="A121" s="27" t="s">
        <v>275</v>
      </c>
      <c r="B121" s="1" t="s">
        <v>114</v>
      </c>
      <c r="C121" s="1" t="s">
        <v>368</v>
      </c>
      <c r="D121" s="1" t="s">
        <v>227</v>
      </c>
      <c r="E121" s="4" t="s">
        <v>369</v>
      </c>
    </row>
    <row r="122" spans="1:5" ht="12.75">
      <c r="A122" s="27" t="s">
        <v>189</v>
      </c>
      <c r="B122" s="1" t="s">
        <v>114</v>
      </c>
      <c r="C122" s="1" t="s">
        <v>115</v>
      </c>
      <c r="D122" s="1" t="s">
        <v>64</v>
      </c>
      <c r="E122" s="4" t="s">
        <v>370</v>
      </c>
    </row>
    <row r="123" spans="1:5" ht="12.75">
      <c r="A123" s="27" t="s">
        <v>201</v>
      </c>
      <c r="B123" s="1" t="s">
        <v>114</v>
      </c>
      <c r="C123" s="1" t="s">
        <v>355</v>
      </c>
      <c r="D123" s="1" t="s">
        <v>206</v>
      </c>
      <c r="E123" s="4" t="s">
        <v>371</v>
      </c>
    </row>
    <row r="124" spans="1:5" ht="12.75">
      <c r="A124" s="27" t="s">
        <v>325</v>
      </c>
      <c r="B124" s="1" t="s">
        <v>114</v>
      </c>
      <c r="C124" s="1" t="s">
        <v>364</v>
      </c>
      <c r="D124" s="1" t="s">
        <v>227</v>
      </c>
      <c r="E124" s="4" t="s">
        <v>372</v>
      </c>
    </row>
    <row r="125" spans="1:5" ht="12.75">
      <c r="A125" s="27" t="s">
        <v>279</v>
      </c>
      <c r="B125" s="1" t="s">
        <v>114</v>
      </c>
      <c r="C125" s="1" t="s">
        <v>368</v>
      </c>
      <c r="D125" s="1" t="s">
        <v>93</v>
      </c>
      <c r="E125" s="4" t="s">
        <v>373</v>
      </c>
    </row>
    <row r="126" spans="1:5" ht="12.75">
      <c r="A126" s="27" t="s">
        <v>328</v>
      </c>
      <c r="B126" s="1" t="s">
        <v>114</v>
      </c>
      <c r="C126" s="1" t="s">
        <v>132</v>
      </c>
      <c r="D126" s="1" t="s">
        <v>227</v>
      </c>
      <c r="E126" s="4" t="s">
        <v>374</v>
      </c>
    </row>
    <row r="127" spans="1:5" ht="12.75">
      <c r="A127" s="27" t="s">
        <v>283</v>
      </c>
      <c r="B127" s="1" t="s">
        <v>114</v>
      </c>
      <c r="C127" s="1" t="s">
        <v>368</v>
      </c>
      <c r="D127" s="1" t="s">
        <v>92</v>
      </c>
      <c r="E127" s="4" t="s">
        <v>375</v>
      </c>
    </row>
    <row r="128" spans="1:5" ht="12.75">
      <c r="A128" s="27" t="s">
        <v>288</v>
      </c>
      <c r="B128" s="1" t="s">
        <v>114</v>
      </c>
      <c r="C128" s="1" t="s">
        <v>368</v>
      </c>
      <c r="D128" s="1" t="s">
        <v>92</v>
      </c>
      <c r="E128" s="4" t="s">
        <v>376</v>
      </c>
    </row>
    <row r="129" spans="1:5" ht="12.75">
      <c r="A129" s="27" t="s">
        <v>194</v>
      </c>
      <c r="B129" s="1" t="s">
        <v>114</v>
      </c>
      <c r="C129" s="1" t="s">
        <v>115</v>
      </c>
      <c r="D129" s="1" t="s">
        <v>77</v>
      </c>
      <c r="E129" s="4" t="s">
        <v>377</v>
      </c>
    </row>
    <row r="130" spans="1:5" ht="12.75">
      <c r="A130" s="27" t="s">
        <v>291</v>
      </c>
      <c r="B130" s="1" t="s">
        <v>114</v>
      </c>
      <c r="C130" s="1" t="s">
        <v>368</v>
      </c>
      <c r="D130" s="1" t="s">
        <v>57</v>
      </c>
      <c r="E130" s="4" t="s">
        <v>378</v>
      </c>
    </row>
    <row r="131" spans="1:5" ht="12.75">
      <c r="A131" s="27" t="s">
        <v>331</v>
      </c>
      <c r="B131" s="1" t="s">
        <v>114</v>
      </c>
      <c r="C131" s="1" t="s">
        <v>132</v>
      </c>
      <c r="D131" s="1" t="s">
        <v>93</v>
      </c>
      <c r="E131" s="4" t="s">
        <v>379</v>
      </c>
    </row>
    <row r="132" spans="1:5" ht="12.75">
      <c r="A132" s="27" t="s">
        <v>296</v>
      </c>
      <c r="B132" s="1" t="s">
        <v>114</v>
      </c>
      <c r="C132" s="1" t="s">
        <v>368</v>
      </c>
      <c r="D132" s="1" t="s">
        <v>220</v>
      </c>
      <c r="E132" s="4" t="s">
        <v>380</v>
      </c>
    </row>
    <row r="133" spans="1:5" ht="12.75">
      <c r="A133" s="27" t="s">
        <v>208</v>
      </c>
      <c r="B133" s="1" t="s">
        <v>114</v>
      </c>
      <c r="C133" s="1" t="s">
        <v>355</v>
      </c>
      <c r="D133" s="1" t="s">
        <v>63</v>
      </c>
      <c r="E133" s="4" t="s">
        <v>381</v>
      </c>
    </row>
    <row r="134" spans="1:5" ht="12.75">
      <c r="A134" s="27" t="s">
        <v>255</v>
      </c>
      <c r="B134" s="1" t="s">
        <v>114</v>
      </c>
      <c r="C134" s="1" t="s">
        <v>135</v>
      </c>
      <c r="D134" s="1" t="s">
        <v>206</v>
      </c>
      <c r="E134" s="4" t="s">
        <v>382</v>
      </c>
    </row>
    <row r="135" spans="1:5" ht="12.75">
      <c r="A135" s="27" t="s">
        <v>300</v>
      </c>
      <c r="B135" s="1" t="s">
        <v>114</v>
      </c>
      <c r="C135" s="1" t="s">
        <v>368</v>
      </c>
      <c r="D135" s="1" t="s">
        <v>68</v>
      </c>
      <c r="E135" s="4" t="s">
        <v>383</v>
      </c>
    </row>
    <row r="136" spans="1:5" ht="12.75">
      <c r="A136" s="27" t="s">
        <v>260</v>
      </c>
      <c r="B136" s="1" t="s">
        <v>114</v>
      </c>
      <c r="C136" s="1" t="s">
        <v>135</v>
      </c>
      <c r="D136" s="1" t="s">
        <v>259</v>
      </c>
      <c r="E136" s="4" t="s">
        <v>384</v>
      </c>
    </row>
    <row r="137" spans="1:5" ht="12.75">
      <c r="A137" s="27" t="s">
        <v>264</v>
      </c>
      <c r="B137" s="1" t="s">
        <v>114</v>
      </c>
      <c r="C137" s="1" t="s">
        <v>135</v>
      </c>
      <c r="D137" s="1" t="s">
        <v>63</v>
      </c>
      <c r="E137" s="4" t="s">
        <v>385</v>
      </c>
    </row>
    <row r="138" spans="1:5" ht="12.75">
      <c r="A138" s="27" t="s">
        <v>234</v>
      </c>
      <c r="B138" s="1" t="s">
        <v>114</v>
      </c>
      <c r="C138" s="1" t="s">
        <v>138</v>
      </c>
      <c r="D138" s="1" t="s">
        <v>51</v>
      </c>
      <c r="E138" s="4" t="s">
        <v>386</v>
      </c>
    </row>
    <row r="140" spans="1:2" ht="14.25">
      <c r="A140" s="28" t="s">
        <v>124</v>
      </c>
      <c r="B140" s="29"/>
    </row>
    <row r="141" spans="1:5" ht="13.5">
      <c r="A141" s="30" t="s">
        <v>109</v>
      </c>
      <c r="B141" s="30" t="s">
        <v>110</v>
      </c>
      <c r="C141" s="30" t="s">
        <v>111</v>
      </c>
      <c r="D141" s="30" t="s">
        <v>112</v>
      </c>
      <c r="E141" s="30" t="s">
        <v>113</v>
      </c>
    </row>
    <row r="142" spans="1:5" ht="12.75">
      <c r="A142" s="27" t="s">
        <v>239</v>
      </c>
      <c r="B142" s="1" t="s">
        <v>387</v>
      </c>
      <c r="C142" s="1" t="s">
        <v>138</v>
      </c>
      <c r="D142" s="1" t="s">
        <v>50</v>
      </c>
      <c r="E142" s="4" t="s">
        <v>388</v>
      </c>
    </row>
    <row r="143" spans="1:5" ht="12.75">
      <c r="A143" s="27" t="s">
        <v>344</v>
      </c>
      <c r="B143" s="1" t="s">
        <v>389</v>
      </c>
      <c r="C143" s="1" t="s">
        <v>132</v>
      </c>
      <c r="D143" s="1" t="s">
        <v>227</v>
      </c>
      <c r="E143" s="4" t="s">
        <v>390</v>
      </c>
    </row>
    <row r="144" spans="1:5" ht="12.75">
      <c r="A144" s="27" t="s">
        <v>340</v>
      </c>
      <c r="B144" s="1" t="s">
        <v>125</v>
      </c>
      <c r="C144" s="1" t="s">
        <v>132</v>
      </c>
      <c r="D144" s="1" t="s">
        <v>227</v>
      </c>
      <c r="E144" s="4" t="s">
        <v>391</v>
      </c>
    </row>
    <row r="145" spans="1:5" ht="12.75">
      <c r="A145" s="27" t="s">
        <v>328</v>
      </c>
      <c r="B145" s="1" t="s">
        <v>141</v>
      </c>
      <c r="C145" s="1" t="s">
        <v>132</v>
      </c>
      <c r="D145" s="1" t="s">
        <v>227</v>
      </c>
      <c r="E145" s="4" t="s">
        <v>392</v>
      </c>
    </row>
    <row r="146" spans="1:5" ht="12.75">
      <c r="A146" s="27" t="s">
        <v>313</v>
      </c>
      <c r="B146" s="1" t="s">
        <v>141</v>
      </c>
      <c r="C146" s="1" t="s">
        <v>368</v>
      </c>
      <c r="D146" s="1" t="s">
        <v>92</v>
      </c>
      <c r="E146" s="4" t="s">
        <v>393</v>
      </c>
    </row>
    <row r="147" spans="1:5" ht="12.75">
      <c r="A147" s="27" t="s">
        <v>288</v>
      </c>
      <c r="B147" s="1" t="s">
        <v>141</v>
      </c>
      <c r="C147" s="1" t="s">
        <v>368</v>
      </c>
      <c r="D147" s="1" t="s">
        <v>92</v>
      </c>
      <c r="E147" s="4" t="s">
        <v>394</v>
      </c>
    </row>
  </sheetData>
  <sheetProtection/>
  <mergeCells count="25">
    <mergeCell ref="A54:L54"/>
    <mergeCell ref="A68:L68"/>
    <mergeCell ref="A72:L72"/>
    <mergeCell ref="A22:L22"/>
    <mergeCell ref="A25:L25"/>
    <mergeCell ref="A28:L28"/>
    <mergeCell ref="A32:L32"/>
    <mergeCell ref="A38:L38"/>
    <mergeCell ref="A45:L45"/>
    <mergeCell ref="M3:M4"/>
    <mergeCell ref="A5:L5"/>
    <mergeCell ref="A8:L8"/>
    <mergeCell ref="A11:L11"/>
    <mergeCell ref="A16:L16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selection activeCell="B58" sqref="B58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29.62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15.00390625" style="5" bestFit="1" customWidth="1"/>
    <col min="14" max="16384" width="9.125" style="1" customWidth="1"/>
  </cols>
  <sheetData>
    <row r="1" spans="1:13" ht="15" customHeight="1">
      <c r="A1" s="42" t="s">
        <v>395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3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6" t="s">
        <v>14</v>
      </c>
      <c r="B6" s="7" t="s">
        <v>396</v>
      </c>
      <c r="C6" s="7" t="s">
        <v>397</v>
      </c>
      <c r="D6" s="7" t="str">
        <f>"1,0405"</f>
        <v>1,0405</v>
      </c>
      <c r="E6" s="8" t="s">
        <v>31</v>
      </c>
      <c r="F6" s="8" t="s">
        <v>17</v>
      </c>
      <c r="G6" s="7" t="s">
        <v>25</v>
      </c>
      <c r="H6" s="9" t="s">
        <v>243</v>
      </c>
      <c r="I6" s="9"/>
      <c r="J6" s="9"/>
      <c r="K6" s="6" t="s">
        <v>249</v>
      </c>
      <c r="L6" s="7" t="str">
        <f>"104,0500"</f>
        <v>104,0500</v>
      </c>
      <c r="M6" s="8" t="s">
        <v>27</v>
      </c>
    </row>
    <row r="8" spans="1:12" ht="15">
      <c r="A8" s="40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6" t="s">
        <v>398</v>
      </c>
      <c r="B9" s="7" t="s">
        <v>399</v>
      </c>
      <c r="C9" s="7" t="s">
        <v>400</v>
      </c>
      <c r="D9" s="7" t="str">
        <f>"1,0098"</f>
        <v>1,0098</v>
      </c>
      <c r="E9" s="8" t="s">
        <v>31</v>
      </c>
      <c r="F9" s="8" t="s">
        <v>17</v>
      </c>
      <c r="G9" s="7" t="s">
        <v>19</v>
      </c>
      <c r="H9" s="9" t="s">
        <v>42</v>
      </c>
      <c r="I9" s="9" t="s">
        <v>42</v>
      </c>
      <c r="J9" s="9"/>
      <c r="K9" s="6" t="s">
        <v>401</v>
      </c>
      <c r="L9" s="7" t="str">
        <f>"70,6860"</f>
        <v>70,6860</v>
      </c>
      <c r="M9" s="8" t="s">
        <v>402</v>
      </c>
    </row>
    <row r="11" spans="1:12" ht="15">
      <c r="A11" s="40" t="s">
        <v>156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ht="12.75">
      <c r="A12" s="6" t="s">
        <v>403</v>
      </c>
      <c r="B12" s="7" t="s">
        <v>404</v>
      </c>
      <c r="C12" s="7" t="s">
        <v>163</v>
      </c>
      <c r="D12" s="7" t="str">
        <f>"0,9086"</f>
        <v>0,9086</v>
      </c>
      <c r="E12" s="8" t="s">
        <v>16</v>
      </c>
      <c r="F12" s="8" t="s">
        <v>17</v>
      </c>
      <c r="G12" s="7" t="s">
        <v>34</v>
      </c>
      <c r="H12" s="9" t="s">
        <v>24</v>
      </c>
      <c r="I12" s="9" t="s">
        <v>24</v>
      </c>
      <c r="J12" s="9"/>
      <c r="K12" s="6" t="s">
        <v>180</v>
      </c>
      <c r="L12" s="7" t="str">
        <f>"81,7740"</f>
        <v>81,7740</v>
      </c>
      <c r="M12" s="8" t="s">
        <v>27</v>
      </c>
    </row>
    <row r="14" spans="1:12" ht="15">
      <c r="A14" s="40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 ht="12.75">
      <c r="A15" s="6" t="s">
        <v>39</v>
      </c>
      <c r="B15" s="7" t="s">
        <v>40</v>
      </c>
      <c r="C15" s="7" t="s">
        <v>174</v>
      </c>
      <c r="D15" s="7" t="str">
        <f>"0,8738"</f>
        <v>0,8738</v>
      </c>
      <c r="E15" s="8" t="s">
        <v>31</v>
      </c>
      <c r="F15" s="8" t="s">
        <v>41</v>
      </c>
      <c r="G15" s="7" t="s">
        <v>33</v>
      </c>
      <c r="H15" s="7" t="s">
        <v>44</v>
      </c>
      <c r="I15" s="9" t="s">
        <v>34</v>
      </c>
      <c r="J15" s="9"/>
      <c r="K15" s="6" t="s">
        <v>405</v>
      </c>
      <c r="L15" s="7" t="str">
        <f>"74,2730"</f>
        <v>74,2730</v>
      </c>
      <c r="M15" s="8" t="s">
        <v>27</v>
      </c>
    </row>
    <row r="17" spans="1:12" ht="15">
      <c r="A17" s="40" t="s">
        <v>46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3" ht="12.75">
      <c r="A18" s="6" t="s">
        <v>406</v>
      </c>
      <c r="B18" s="7" t="s">
        <v>407</v>
      </c>
      <c r="C18" s="7" t="s">
        <v>408</v>
      </c>
      <c r="D18" s="7" t="str">
        <f>"0,7827"</f>
        <v>0,7827</v>
      </c>
      <c r="E18" s="8" t="s">
        <v>31</v>
      </c>
      <c r="F18" s="8" t="s">
        <v>41</v>
      </c>
      <c r="G18" s="7" t="s">
        <v>68</v>
      </c>
      <c r="H18" s="7" t="s">
        <v>409</v>
      </c>
      <c r="I18" s="7" t="s">
        <v>69</v>
      </c>
      <c r="J18" s="9"/>
      <c r="K18" s="6" t="s">
        <v>254</v>
      </c>
      <c r="L18" s="7" t="str">
        <f>"113,4915"</f>
        <v>113,4915</v>
      </c>
      <c r="M18" s="8" t="s">
        <v>27</v>
      </c>
    </row>
    <row r="20" spans="1:12" ht="15">
      <c r="A20" s="40" t="s">
        <v>54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3" ht="12.75">
      <c r="A21" s="10" t="s">
        <v>410</v>
      </c>
      <c r="B21" s="11" t="s">
        <v>411</v>
      </c>
      <c r="C21" s="11" t="s">
        <v>412</v>
      </c>
      <c r="D21" s="11" t="str">
        <f>"0,7453"</f>
        <v>0,7453</v>
      </c>
      <c r="E21" s="12" t="s">
        <v>31</v>
      </c>
      <c r="F21" s="12" t="s">
        <v>413</v>
      </c>
      <c r="G21" s="11" t="s">
        <v>206</v>
      </c>
      <c r="H21" s="11" t="s">
        <v>409</v>
      </c>
      <c r="I21" s="13" t="s">
        <v>220</v>
      </c>
      <c r="J21" s="13"/>
      <c r="K21" s="10" t="s">
        <v>414</v>
      </c>
      <c r="L21" s="11" t="str">
        <f>"106,2052"</f>
        <v>106,2052</v>
      </c>
      <c r="M21" s="12" t="s">
        <v>27</v>
      </c>
    </row>
    <row r="22" spans="1:13" ht="12.75">
      <c r="A22" s="18" t="s">
        <v>415</v>
      </c>
      <c r="B22" s="19" t="s">
        <v>416</v>
      </c>
      <c r="C22" s="19" t="s">
        <v>417</v>
      </c>
      <c r="D22" s="19" t="str">
        <f>"0,7490"</f>
        <v>0,7490</v>
      </c>
      <c r="E22" s="20" t="s">
        <v>237</v>
      </c>
      <c r="F22" s="20" t="s">
        <v>17</v>
      </c>
      <c r="G22" s="19" t="s">
        <v>199</v>
      </c>
      <c r="H22" s="19" t="s">
        <v>418</v>
      </c>
      <c r="I22" s="19" t="s">
        <v>25</v>
      </c>
      <c r="J22" s="21"/>
      <c r="K22" s="18" t="s">
        <v>249</v>
      </c>
      <c r="L22" s="19" t="str">
        <f>"74,9000"</f>
        <v>74,9000</v>
      </c>
      <c r="M22" s="20" t="s">
        <v>27</v>
      </c>
    </row>
    <row r="24" spans="1:12" ht="15">
      <c r="A24" s="40" t="s">
        <v>60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3" ht="12.75">
      <c r="A25" s="6" t="s">
        <v>419</v>
      </c>
      <c r="B25" s="7" t="s">
        <v>420</v>
      </c>
      <c r="C25" s="7" t="s">
        <v>421</v>
      </c>
      <c r="D25" s="7" t="str">
        <f>"0,8161"</f>
        <v>0,8161</v>
      </c>
      <c r="E25" s="8" t="s">
        <v>83</v>
      </c>
      <c r="F25" s="8" t="s">
        <v>17</v>
      </c>
      <c r="G25" s="7" t="s">
        <v>33</v>
      </c>
      <c r="H25" s="7" t="s">
        <v>34</v>
      </c>
      <c r="I25" s="7" t="s">
        <v>248</v>
      </c>
      <c r="J25" s="9"/>
      <c r="K25" s="6" t="s">
        <v>422</v>
      </c>
      <c r="L25" s="7" t="str">
        <f>"83,6533"</f>
        <v>83,6533</v>
      </c>
      <c r="M25" s="8" t="s">
        <v>27</v>
      </c>
    </row>
    <row r="27" spans="1:12" ht="15">
      <c r="A27" s="40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3" ht="12.75">
      <c r="A28" s="6" t="s">
        <v>194</v>
      </c>
      <c r="B28" s="7" t="s">
        <v>195</v>
      </c>
      <c r="C28" s="7" t="s">
        <v>52</v>
      </c>
      <c r="D28" s="7" t="str">
        <f>"0,7258"</f>
        <v>0,7258</v>
      </c>
      <c r="E28" s="8" t="s">
        <v>31</v>
      </c>
      <c r="F28" s="8" t="s">
        <v>17</v>
      </c>
      <c r="G28" s="7" t="s">
        <v>423</v>
      </c>
      <c r="H28" s="9" t="s">
        <v>78</v>
      </c>
      <c r="I28" s="9" t="s">
        <v>78</v>
      </c>
      <c r="J28" s="9"/>
      <c r="K28" s="6" t="s">
        <v>424</v>
      </c>
      <c r="L28" s="7" t="str">
        <f>"137,9020"</f>
        <v>137,9020</v>
      </c>
      <c r="M28" s="8" t="s">
        <v>27</v>
      </c>
    </row>
    <row r="30" spans="1:12" ht="15">
      <c r="A30" s="40" t="s">
        <v>54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3" ht="12.75">
      <c r="A31" s="6" t="s">
        <v>425</v>
      </c>
      <c r="B31" s="7" t="s">
        <v>426</v>
      </c>
      <c r="C31" s="7" t="s">
        <v>427</v>
      </c>
      <c r="D31" s="7" t="str">
        <f>"0,6701"</f>
        <v>0,6701</v>
      </c>
      <c r="E31" s="8" t="s">
        <v>31</v>
      </c>
      <c r="F31" s="8" t="s">
        <v>262</v>
      </c>
      <c r="G31" s="9" t="s">
        <v>428</v>
      </c>
      <c r="H31" s="7" t="s">
        <v>428</v>
      </c>
      <c r="I31" s="9" t="s">
        <v>323</v>
      </c>
      <c r="J31" s="9"/>
      <c r="K31" s="6" t="s">
        <v>429</v>
      </c>
      <c r="L31" s="7" t="str">
        <f>"135,6952"</f>
        <v>135,6952</v>
      </c>
      <c r="M31" s="8" t="s">
        <v>27</v>
      </c>
    </row>
    <row r="33" spans="1:12" ht="15">
      <c r="A33" s="40" t="s">
        <v>60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3" ht="12.75">
      <c r="A34" s="10" t="s">
        <v>430</v>
      </c>
      <c r="B34" s="11" t="s">
        <v>431</v>
      </c>
      <c r="C34" s="11" t="s">
        <v>224</v>
      </c>
      <c r="D34" s="11" t="str">
        <f>"0,6312"</f>
        <v>0,6312</v>
      </c>
      <c r="E34" s="12" t="s">
        <v>31</v>
      </c>
      <c r="F34" s="12" t="s">
        <v>17</v>
      </c>
      <c r="G34" s="11" t="s">
        <v>423</v>
      </c>
      <c r="H34" s="13" t="s">
        <v>323</v>
      </c>
      <c r="I34" s="13" t="s">
        <v>323</v>
      </c>
      <c r="J34" s="13"/>
      <c r="K34" s="10" t="s">
        <v>424</v>
      </c>
      <c r="L34" s="11" t="str">
        <f>"119,9280"</f>
        <v>119,9280</v>
      </c>
      <c r="M34" s="12" t="s">
        <v>27</v>
      </c>
    </row>
    <row r="35" spans="1:13" ht="12.75">
      <c r="A35" s="14" t="s">
        <v>432</v>
      </c>
      <c r="B35" s="15" t="s">
        <v>433</v>
      </c>
      <c r="C35" s="15" t="s">
        <v>434</v>
      </c>
      <c r="D35" s="15" t="str">
        <f>"0,6257"</f>
        <v>0,6257</v>
      </c>
      <c r="E35" s="16" t="s">
        <v>31</v>
      </c>
      <c r="F35" s="16" t="s">
        <v>17</v>
      </c>
      <c r="G35" s="15" t="s">
        <v>423</v>
      </c>
      <c r="H35" s="15" t="s">
        <v>428</v>
      </c>
      <c r="I35" s="17" t="s">
        <v>435</v>
      </c>
      <c r="J35" s="17"/>
      <c r="K35" s="14" t="s">
        <v>429</v>
      </c>
      <c r="L35" s="15" t="str">
        <f>"126,7042"</f>
        <v>126,7042</v>
      </c>
      <c r="M35" s="16" t="s">
        <v>27</v>
      </c>
    </row>
    <row r="36" spans="1:13" ht="12.75">
      <c r="A36" s="18" t="s">
        <v>436</v>
      </c>
      <c r="B36" s="19" t="s">
        <v>437</v>
      </c>
      <c r="C36" s="19" t="s">
        <v>438</v>
      </c>
      <c r="D36" s="19" t="str">
        <f>"0,6394"</f>
        <v>0,6394</v>
      </c>
      <c r="E36" s="20" t="s">
        <v>31</v>
      </c>
      <c r="F36" s="20" t="s">
        <v>192</v>
      </c>
      <c r="G36" s="21" t="s">
        <v>74</v>
      </c>
      <c r="H36" s="19" t="s">
        <v>75</v>
      </c>
      <c r="I36" s="19" t="s">
        <v>439</v>
      </c>
      <c r="J36" s="21"/>
      <c r="K36" s="18" t="s">
        <v>440</v>
      </c>
      <c r="L36" s="19" t="str">
        <f>"119,8875"</f>
        <v>119,8875</v>
      </c>
      <c r="M36" s="20" t="s">
        <v>27</v>
      </c>
    </row>
    <row r="38" spans="1:12" ht="15">
      <c r="A38" s="40" t="s">
        <v>71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3" ht="12.75">
      <c r="A39" s="10" t="s">
        <v>441</v>
      </c>
      <c r="B39" s="11" t="s">
        <v>442</v>
      </c>
      <c r="C39" s="11" t="s">
        <v>443</v>
      </c>
      <c r="D39" s="11" t="str">
        <f>"0,5978"</f>
        <v>0,5978</v>
      </c>
      <c r="E39" s="12" t="s">
        <v>31</v>
      </c>
      <c r="F39" s="12" t="s">
        <v>17</v>
      </c>
      <c r="G39" s="13" t="s">
        <v>78</v>
      </c>
      <c r="H39" s="11" t="s">
        <v>127</v>
      </c>
      <c r="I39" s="11" t="s">
        <v>444</v>
      </c>
      <c r="J39" s="13"/>
      <c r="K39" s="10" t="s">
        <v>445</v>
      </c>
      <c r="L39" s="11" t="str">
        <f>"133,0105"</f>
        <v>133,0105</v>
      </c>
      <c r="M39" s="12" t="s">
        <v>27</v>
      </c>
    </row>
    <row r="40" spans="1:13" ht="12.75">
      <c r="A40" s="14" t="s">
        <v>446</v>
      </c>
      <c r="B40" s="15" t="s">
        <v>447</v>
      </c>
      <c r="C40" s="15" t="s">
        <v>448</v>
      </c>
      <c r="D40" s="15" t="str">
        <f>"0,5992"</f>
        <v>0,5992</v>
      </c>
      <c r="E40" s="16" t="s">
        <v>31</v>
      </c>
      <c r="F40" s="16" t="s">
        <v>17</v>
      </c>
      <c r="G40" s="17" t="s">
        <v>76</v>
      </c>
      <c r="H40" s="15" t="s">
        <v>76</v>
      </c>
      <c r="I40" s="15" t="s">
        <v>428</v>
      </c>
      <c r="J40" s="17"/>
      <c r="K40" s="14" t="s">
        <v>429</v>
      </c>
      <c r="L40" s="15" t="str">
        <f>"121,3471"</f>
        <v>121,3471</v>
      </c>
      <c r="M40" s="16" t="s">
        <v>27</v>
      </c>
    </row>
    <row r="41" spans="1:13" ht="12.75">
      <c r="A41" s="18" t="s">
        <v>449</v>
      </c>
      <c r="B41" s="19" t="s">
        <v>450</v>
      </c>
      <c r="C41" s="19" t="s">
        <v>451</v>
      </c>
      <c r="D41" s="19" t="str">
        <f>"1,0118"</f>
        <v>1,0118</v>
      </c>
      <c r="E41" s="20" t="s">
        <v>237</v>
      </c>
      <c r="F41" s="20" t="s">
        <v>17</v>
      </c>
      <c r="G41" s="19" t="s">
        <v>68</v>
      </c>
      <c r="H41" s="19" t="s">
        <v>69</v>
      </c>
      <c r="I41" s="19" t="s">
        <v>220</v>
      </c>
      <c r="J41" s="21"/>
      <c r="K41" s="18" t="s">
        <v>221</v>
      </c>
      <c r="L41" s="19" t="str">
        <f>"149,2464"</f>
        <v>149,2464</v>
      </c>
      <c r="M41" s="20" t="s">
        <v>27</v>
      </c>
    </row>
    <row r="43" spans="1:12" ht="15">
      <c r="A43" s="40" t="s">
        <v>80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3" ht="12.75">
      <c r="A44" s="10" t="s">
        <v>452</v>
      </c>
      <c r="B44" s="11" t="s">
        <v>453</v>
      </c>
      <c r="C44" s="11" t="s">
        <v>454</v>
      </c>
      <c r="D44" s="11" t="str">
        <f>"0,5578"</f>
        <v>0,5578</v>
      </c>
      <c r="E44" s="12" t="s">
        <v>31</v>
      </c>
      <c r="F44" s="12" t="s">
        <v>17</v>
      </c>
      <c r="G44" s="11" t="s">
        <v>455</v>
      </c>
      <c r="H44" s="13" t="s">
        <v>456</v>
      </c>
      <c r="I44" s="13" t="s">
        <v>456</v>
      </c>
      <c r="J44" s="13"/>
      <c r="K44" s="10" t="s">
        <v>457</v>
      </c>
      <c r="L44" s="11" t="str">
        <f>"139,4500"</f>
        <v>139,4500</v>
      </c>
      <c r="M44" s="12" t="s">
        <v>27</v>
      </c>
    </row>
    <row r="45" spans="1:13" ht="12.75">
      <c r="A45" s="18" t="s">
        <v>313</v>
      </c>
      <c r="B45" s="19" t="s">
        <v>314</v>
      </c>
      <c r="C45" s="19" t="s">
        <v>315</v>
      </c>
      <c r="D45" s="19" t="str">
        <f>"0,5656"</f>
        <v>0,5656</v>
      </c>
      <c r="E45" s="20" t="s">
        <v>31</v>
      </c>
      <c r="F45" s="20" t="s">
        <v>316</v>
      </c>
      <c r="G45" s="19" t="s">
        <v>127</v>
      </c>
      <c r="H45" s="19" t="s">
        <v>435</v>
      </c>
      <c r="I45" s="21" t="s">
        <v>458</v>
      </c>
      <c r="J45" s="21"/>
      <c r="K45" s="18" t="s">
        <v>459</v>
      </c>
      <c r="L45" s="19" t="str">
        <f>"121,6022"</f>
        <v>121,6022</v>
      </c>
      <c r="M45" s="20" t="s">
        <v>27</v>
      </c>
    </row>
    <row r="47" spans="1:12" ht="15">
      <c r="A47" s="40" t="s">
        <v>318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3" ht="12.75">
      <c r="A48" s="6" t="s">
        <v>460</v>
      </c>
      <c r="B48" s="7" t="s">
        <v>461</v>
      </c>
      <c r="C48" s="7" t="s">
        <v>462</v>
      </c>
      <c r="D48" s="7" t="str">
        <f>"0,5391"</f>
        <v>0,5391</v>
      </c>
      <c r="E48" s="8" t="s">
        <v>31</v>
      </c>
      <c r="F48" s="8" t="s">
        <v>463</v>
      </c>
      <c r="G48" s="7" t="s">
        <v>78</v>
      </c>
      <c r="H48" s="7" t="s">
        <v>127</v>
      </c>
      <c r="I48" s="9" t="s">
        <v>91</v>
      </c>
      <c r="J48" s="9"/>
      <c r="K48" s="6" t="s">
        <v>26</v>
      </c>
      <c r="L48" s="7" t="str">
        <f>"113,2110"</f>
        <v>113,2110</v>
      </c>
      <c r="M48" s="8" t="s">
        <v>27</v>
      </c>
    </row>
    <row r="50" spans="1:12" ht="15">
      <c r="A50" s="40" t="s">
        <v>86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3" ht="12.75">
      <c r="A51" s="10" t="s">
        <v>87</v>
      </c>
      <c r="B51" s="11" t="s">
        <v>88</v>
      </c>
      <c r="C51" s="11" t="s">
        <v>464</v>
      </c>
      <c r="D51" s="11" t="str">
        <f>"0,5319"</f>
        <v>0,5319</v>
      </c>
      <c r="E51" s="12" t="s">
        <v>31</v>
      </c>
      <c r="F51" s="12" t="s">
        <v>89</v>
      </c>
      <c r="G51" s="11" t="s">
        <v>90</v>
      </c>
      <c r="H51" s="11" t="s">
        <v>95</v>
      </c>
      <c r="I51" s="11" t="s">
        <v>91</v>
      </c>
      <c r="J51" s="13"/>
      <c r="K51" s="10" t="s">
        <v>465</v>
      </c>
      <c r="L51" s="11" t="str">
        <f>"127,6560"</f>
        <v>127,6560</v>
      </c>
      <c r="M51" s="12" t="s">
        <v>27</v>
      </c>
    </row>
    <row r="52" spans="1:13" ht="12.75">
      <c r="A52" s="14" t="s">
        <v>466</v>
      </c>
      <c r="B52" s="15" t="s">
        <v>467</v>
      </c>
      <c r="C52" s="15" t="s">
        <v>468</v>
      </c>
      <c r="D52" s="15" t="str">
        <f>"0,5285"</f>
        <v>0,5285</v>
      </c>
      <c r="E52" s="16" t="s">
        <v>31</v>
      </c>
      <c r="F52" s="16" t="s">
        <v>322</v>
      </c>
      <c r="G52" s="15" t="s">
        <v>456</v>
      </c>
      <c r="H52" s="15" t="s">
        <v>116</v>
      </c>
      <c r="I52" s="15" t="s">
        <v>469</v>
      </c>
      <c r="J52" s="17"/>
      <c r="K52" s="14" t="s">
        <v>470</v>
      </c>
      <c r="L52" s="15" t="str">
        <f>"166,4775"</f>
        <v>166,4775</v>
      </c>
      <c r="M52" s="16" t="s">
        <v>27</v>
      </c>
    </row>
    <row r="53" spans="1:13" ht="12.75">
      <c r="A53" s="18" t="s">
        <v>471</v>
      </c>
      <c r="B53" s="19" t="s">
        <v>472</v>
      </c>
      <c r="C53" s="19" t="s">
        <v>473</v>
      </c>
      <c r="D53" s="19" t="str">
        <f>"0,9316"</f>
        <v>0,9316</v>
      </c>
      <c r="E53" s="20" t="s">
        <v>31</v>
      </c>
      <c r="F53" s="20" t="s">
        <v>17</v>
      </c>
      <c r="G53" s="21" t="s">
        <v>57</v>
      </c>
      <c r="H53" s="19" t="s">
        <v>93</v>
      </c>
      <c r="I53" s="19" t="s">
        <v>227</v>
      </c>
      <c r="J53" s="21"/>
      <c r="K53" s="18" t="s">
        <v>228</v>
      </c>
      <c r="L53" s="19" t="str">
        <f>"158,3642"</f>
        <v>158,3642</v>
      </c>
      <c r="M53" s="20" t="s">
        <v>27</v>
      </c>
    </row>
    <row r="55" ht="15">
      <c r="E55" s="22" t="s">
        <v>101</v>
      </c>
    </row>
    <row r="56" ht="15">
      <c r="E56" s="22" t="s">
        <v>102</v>
      </c>
    </row>
    <row r="57" ht="15">
      <c r="E57" s="22" t="s">
        <v>103</v>
      </c>
    </row>
    <row r="58" ht="15">
      <c r="E58" s="22" t="s">
        <v>104</v>
      </c>
    </row>
    <row r="59" ht="15">
      <c r="E59" s="22" t="s">
        <v>104</v>
      </c>
    </row>
    <row r="60" ht="15">
      <c r="E60" s="22" t="s">
        <v>105</v>
      </c>
    </row>
    <row r="61" ht="15">
      <c r="E61" s="22"/>
    </row>
    <row r="63" spans="1:2" ht="17.25">
      <c r="A63" s="23" t="s">
        <v>106</v>
      </c>
      <c r="B63" s="24"/>
    </row>
    <row r="64" spans="1:2" ht="15">
      <c r="A64" s="25" t="s">
        <v>107</v>
      </c>
      <c r="B64" s="26"/>
    </row>
    <row r="65" spans="1:2" ht="14.25">
      <c r="A65" s="28" t="s">
        <v>357</v>
      </c>
      <c r="B65" s="29"/>
    </row>
    <row r="66" spans="1:5" ht="13.5">
      <c r="A66" s="30" t="s">
        <v>109</v>
      </c>
      <c r="B66" s="30" t="s">
        <v>110</v>
      </c>
      <c r="C66" s="30" t="s">
        <v>111</v>
      </c>
      <c r="D66" s="30" t="s">
        <v>112</v>
      </c>
      <c r="E66" s="30" t="s">
        <v>113</v>
      </c>
    </row>
    <row r="67" spans="1:5" ht="12.75">
      <c r="A67" s="27" t="s">
        <v>403</v>
      </c>
      <c r="B67" s="1" t="s">
        <v>474</v>
      </c>
      <c r="C67" s="1" t="s">
        <v>347</v>
      </c>
      <c r="D67" s="1" t="s">
        <v>34</v>
      </c>
      <c r="E67" s="4" t="s">
        <v>475</v>
      </c>
    </row>
    <row r="69" spans="1:2" ht="14.25">
      <c r="A69" s="28" t="s">
        <v>130</v>
      </c>
      <c r="B69" s="29"/>
    </row>
    <row r="70" spans="1:5" ht="13.5">
      <c r="A70" s="30" t="s">
        <v>109</v>
      </c>
      <c r="B70" s="30" t="s">
        <v>110</v>
      </c>
      <c r="C70" s="30" t="s">
        <v>111</v>
      </c>
      <c r="D70" s="30" t="s">
        <v>112</v>
      </c>
      <c r="E70" s="30" t="s">
        <v>113</v>
      </c>
    </row>
    <row r="71" spans="1:5" ht="12.75">
      <c r="A71" s="27" t="s">
        <v>406</v>
      </c>
      <c r="B71" s="1" t="s">
        <v>131</v>
      </c>
      <c r="C71" s="1" t="s">
        <v>115</v>
      </c>
      <c r="D71" s="1" t="s">
        <v>69</v>
      </c>
      <c r="E71" s="4" t="s">
        <v>476</v>
      </c>
    </row>
    <row r="73" spans="1:2" ht="14.25">
      <c r="A73" s="28" t="s">
        <v>108</v>
      </c>
      <c r="B73" s="29"/>
    </row>
    <row r="74" spans="1:5" ht="13.5">
      <c r="A74" s="30" t="s">
        <v>109</v>
      </c>
      <c r="B74" s="30" t="s">
        <v>110</v>
      </c>
      <c r="C74" s="30" t="s">
        <v>111</v>
      </c>
      <c r="D74" s="30" t="s">
        <v>112</v>
      </c>
      <c r="E74" s="30" t="s">
        <v>113</v>
      </c>
    </row>
    <row r="75" spans="1:5" ht="12.75">
      <c r="A75" s="27" t="s">
        <v>410</v>
      </c>
      <c r="B75" s="1" t="s">
        <v>114</v>
      </c>
      <c r="C75" s="1" t="s">
        <v>355</v>
      </c>
      <c r="D75" s="1" t="s">
        <v>409</v>
      </c>
      <c r="E75" s="4" t="s">
        <v>477</v>
      </c>
    </row>
    <row r="76" spans="1:5" ht="12.75">
      <c r="A76" s="27" t="s">
        <v>14</v>
      </c>
      <c r="B76" s="1" t="s">
        <v>114</v>
      </c>
      <c r="C76" s="1" t="s">
        <v>126</v>
      </c>
      <c r="D76" s="1" t="s">
        <v>25</v>
      </c>
      <c r="E76" s="4" t="s">
        <v>478</v>
      </c>
    </row>
    <row r="77" spans="1:5" ht="12.75">
      <c r="A77" s="27" t="s">
        <v>415</v>
      </c>
      <c r="B77" s="1" t="s">
        <v>114</v>
      </c>
      <c r="C77" s="1" t="s">
        <v>355</v>
      </c>
      <c r="D77" s="1" t="s">
        <v>25</v>
      </c>
      <c r="E77" s="4" t="s">
        <v>479</v>
      </c>
    </row>
    <row r="78" spans="1:5" ht="12.75">
      <c r="A78" s="27" t="s">
        <v>39</v>
      </c>
      <c r="B78" s="1" t="s">
        <v>114</v>
      </c>
      <c r="C78" s="1" t="s">
        <v>121</v>
      </c>
      <c r="D78" s="1" t="s">
        <v>44</v>
      </c>
      <c r="E78" s="4" t="s">
        <v>480</v>
      </c>
    </row>
    <row r="79" spans="1:5" ht="12.75">
      <c r="A79" s="27" t="s">
        <v>398</v>
      </c>
      <c r="B79" s="1" t="s">
        <v>114</v>
      </c>
      <c r="C79" s="1" t="s">
        <v>118</v>
      </c>
      <c r="D79" s="1" t="s">
        <v>19</v>
      </c>
      <c r="E79" s="4" t="s">
        <v>481</v>
      </c>
    </row>
    <row r="81" spans="1:2" ht="14.25">
      <c r="A81" s="28" t="s">
        <v>124</v>
      </c>
      <c r="B81" s="29"/>
    </row>
    <row r="82" spans="1:5" ht="13.5">
      <c r="A82" s="30" t="s">
        <v>109</v>
      </c>
      <c r="B82" s="30" t="s">
        <v>110</v>
      </c>
      <c r="C82" s="30" t="s">
        <v>111</v>
      </c>
      <c r="D82" s="30" t="s">
        <v>112</v>
      </c>
      <c r="E82" s="30" t="s">
        <v>113</v>
      </c>
    </row>
    <row r="83" spans="1:5" ht="12.75">
      <c r="A83" s="27" t="s">
        <v>419</v>
      </c>
      <c r="B83" s="1" t="s">
        <v>125</v>
      </c>
      <c r="C83" s="1" t="s">
        <v>138</v>
      </c>
      <c r="D83" s="1" t="s">
        <v>248</v>
      </c>
      <c r="E83" s="4" t="s">
        <v>482</v>
      </c>
    </row>
    <row r="86" spans="1:2" ht="15">
      <c r="A86" s="25" t="s">
        <v>129</v>
      </c>
      <c r="B86" s="26"/>
    </row>
    <row r="87" spans="1:2" ht="14.25">
      <c r="A87" s="28" t="s">
        <v>130</v>
      </c>
      <c r="B87" s="29"/>
    </row>
    <row r="88" spans="1:5" ht="13.5">
      <c r="A88" s="30" t="s">
        <v>109</v>
      </c>
      <c r="B88" s="30" t="s">
        <v>110</v>
      </c>
      <c r="C88" s="30" t="s">
        <v>111</v>
      </c>
      <c r="D88" s="30" t="s">
        <v>112</v>
      </c>
      <c r="E88" s="30" t="s">
        <v>113</v>
      </c>
    </row>
    <row r="89" spans="1:5" ht="12.75">
      <c r="A89" s="27" t="s">
        <v>87</v>
      </c>
      <c r="B89" s="1" t="s">
        <v>131</v>
      </c>
      <c r="C89" s="1" t="s">
        <v>132</v>
      </c>
      <c r="D89" s="1" t="s">
        <v>91</v>
      </c>
      <c r="E89" s="4" t="s">
        <v>483</v>
      </c>
    </row>
    <row r="90" spans="1:5" ht="12.75">
      <c r="A90" s="27" t="s">
        <v>430</v>
      </c>
      <c r="B90" s="1" t="s">
        <v>131</v>
      </c>
      <c r="C90" s="1" t="s">
        <v>138</v>
      </c>
      <c r="D90" s="1" t="s">
        <v>423</v>
      </c>
      <c r="E90" s="4" t="s">
        <v>484</v>
      </c>
    </row>
    <row r="91" spans="1:5" ht="12.75">
      <c r="A91" s="27" t="s">
        <v>460</v>
      </c>
      <c r="B91" s="1" t="s">
        <v>131</v>
      </c>
      <c r="C91" s="1" t="s">
        <v>364</v>
      </c>
      <c r="D91" s="1" t="s">
        <v>127</v>
      </c>
      <c r="E91" s="4" t="s">
        <v>485</v>
      </c>
    </row>
    <row r="93" spans="1:2" ht="14.25">
      <c r="A93" s="28" t="s">
        <v>108</v>
      </c>
      <c r="B93" s="29"/>
    </row>
    <row r="94" spans="1:5" ht="13.5">
      <c r="A94" s="30" t="s">
        <v>109</v>
      </c>
      <c r="B94" s="30" t="s">
        <v>110</v>
      </c>
      <c r="C94" s="30" t="s">
        <v>111</v>
      </c>
      <c r="D94" s="30" t="s">
        <v>112</v>
      </c>
      <c r="E94" s="30" t="s">
        <v>113</v>
      </c>
    </row>
    <row r="95" spans="1:5" ht="12.75">
      <c r="A95" s="27" t="s">
        <v>466</v>
      </c>
      <c r="B95" s="1" t="s">
        <v>114</v>
      </c>
      <c r="C95" s="1" t="s">
        <v>132</v>
      </c>
      <c r="D95" s="1" t="s">
        <v>469</v>
      </c>
      <c r="E95" s="4" t="s">
        <v>486</v>
      </c>
    </row>
    <row r="96" spans="1:5" ht="12.75">
      <c r="A96" s="27" t="s">
        <v>452</v>
      </c>
      <c r="B96" s="1" t="s">
        <v>114</v>
      </c>
      <c r="C96" s="1" t="s">
        <v>368</v>
      </c>
      <c r="D96" s="1" t="s">
        <v>455</v>
      </c>
      <c r="E96" s="4" t="s">
        <v>487</v>
      </c>
    </row>
    <row r="97" spans="1:5" ht="12.75">
      <c r="A97" s="27" t="s">
        <v>194</v>
      </c>
      <c r="B97" s="1" t="s">
        <v>114</v>
      </c>
      <c r="C97" s="1" t="s">
        <v>115</v>
      </c>
      <c r="D97" s="1" t="s">
        <v>423</v>
      </c>
      <c r="E97" s="4" t="s">
        <v>488</v>
      </c>
    </row>
    <row r="98" spans="1:5" ht="12.75">
      <c r="A98" s="27" t="s">
        <v>425</v>
      </c>
      <c r="B98" s="1" t="s">
        <v>114</v>
      </c>
      <c r="C98" s="1" t="s">
        <v>355</v>
      </c>
      <c r="D98" s="1" t="s">
        <v>428</v>
      </c>
      <c r="E98" s="4" t="s">
        <v>489</v>
      </c>
    </row>
    <row r="99" spans="1:5" ht="12.75">
      <c r="A99" s="27" t="s">
        <v>441</v>
      </c>
      <c r="B99" s="1" t="s">
        <v>114</v>
      </c>
      <c r="C99" s="1" t="s">
        <v>135</v>
      </c>
      <c r="D99" s="1" t="s">
        <v>444</v>
      </c>
      <c r="E99" s="4" t="s">
        <v>490</v>
      </c>
    </row>
    <row r="100" spans="1:5" ht="12.75">
      <c r="A100" s="27" t="s">
        <v>432</v>
      </c>
      <c r="B100" s="1" t="s">
        <v>114</v>
      </c>
      <c r="C100" s="1" t="s">
        <v>138</v>
      </c>
      <c r="D100" s="1" t="s">
        <v>428</v>
      </c>
      <c r="E100" s="4" t="s">
        <v>491</v>
      </c>
    </row>
    <row r="101" spans="1:5" ht="12.75">
      <c r="A101" s="27" t="s">
        <v>436</v>
      </c>
      <c r="B101" s="1" t="s">
        <v>114</v>
      </c>
      <c r="C101" s="1" t="s">
        <v>138</v>
      </c>
      <c r="D101" s="1" t="s">
        <v>439</v>
      </c>
      <c r="E101" s="4" t="s">
        <v>492</v>
      </c>
    </row>
    <row r="103" spans="1:2" ht="14.25">
      <c r="A103" s="28" t="s">
        <v>124</v>
      </c>
      <c r="B103" s="29"/>
    </row>
    <row r="104" spans="1:5" ht="13.5">
      <c r="A104" s="30" t="s">
        <v>109</v>
      </c>
      <c r="B104" s="30" t="s">
        <v>110</v>
      </c>
      <c r="C104" s="30" t="s">
        <v>111</v>
      </c>
      <c r="D104" s="30" t="s">
        <v>112</v>
      </c>
      <c r="E104" s="30" t="s">
        <v>113</v>
      </c>
    </row>
    <row r="105" spans="1:5" ht="12.75">
      <c r="A105" s="27" t="s">
        <v>471</v>
      </c>
      <c r="B105" s="1" t="s">
        <v>387</v>
      </c>
      <c r="C105" s="1" t="s">
        <v>132</v>
      </c>
      <c r="D105" s="1" t="s">
        <v>227</v>
      </c>
      <c r="E105" s="4" t="s">
        <v>493</v>
      </c>
    </row>
    <row r="106" spans="1:5" ht="12.75">
      <c r="A106" s="27" t="s">
        <v>449</v>
      </c>
      <c r="B106" s="1" t="s">
        <v>387</v>
      </c>
      <c r="C106" s="1" t="s">
        <v>135</v>
      </c>
      <c r="D106" s="1" t="s">
        <v>220</v>
      </c>
      <c r="E106" s="4" t="s">
        <v>494</v>
      </c>
    </row>
    <row r="107" spans="1:5" ht="12.75">
      <c r="A107" s="27" t="s">
        <v>313</v>
      </c>
      <c r="B107" s="1" t="s">
        <v>141</v>
      </c>
      <c r="C107" s="1" t="s">
        <v>368</v>
      </c>
      <c r="D107" s="1" t="s">
        <v>435</v>
      </c>
      <c r="E107" s="4" t="s">
        <v>495</v>
      </c>
    </row>
    <row r="108" spans="1:5" ht="12.75">
      <c r="A108" s="27" t="s">
        <v>446</v>
      </c>
      <c r="B108" s="1" t="s">
        <v>141</v>
      </c>
      <c r="C108" s="1" t="s">
        <v>135</v>
      </c>
      <c r="D108" s="1" t="s">
        <v>428</v>
      </c>
      <c r="E108" s="4" t="s">
        <v>496</v>
      </c>
    </row>
  </sheetData>
  <sheetProtection/>
  <mergeCells count="25">
    <mergeCell ref="A43:L43"/>
    <mergeCell ref="A47:L47"/>
    <mergeCell ref="A50:L50"/>
    <mergeCell ref="A20:L20"/>
    <mergeCell ref="A24:L24"/>
    <mergeCell ref="A27:L27"/>
    <mergeCell ref="A30:L30"/>
    <mergeCell ref="A33:L33"/>
    <mergeCell ref="A38:L38"/>
    <mergeCell ref="M3:M4"/>
    <mergeCell ref="A5:L5"/>
    <mergeCell ref="A8:L8"/>
    <mergeCell ref="A11:L11"/>
    <mergeCell ref="A14:L1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M16" sqref="M16"/>
    </sheetView>
  </sheetViews>
  <sheetFormatPr defaultColWidth="9.125" defaultRowHeight="12.75"/>
  <cols>
    <col min="1" max="1" width="28.375" style="4" bestFit="1" customWidth="1"/>
    <col min="2" max="2" width="21.5039062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21.87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10.875" style="5" bestFit="1" customWidth="1"/>
    <col min="14" max="16384" width="9.125" style="1" customWidth="1"/>
  </cols>
  <sheetData>
    <row r="1" spans="1:13" ht="15" customHeight="1">
      <c r="A1" s="42" t="s">
        <v>497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3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6" t="s">
        <v>498</v>
      </c>
      <c r="B6" s="7" t="s">
        <v>499</v>
      </c>
      <c r="C6" s="7" t="s">
        <v>500</v>
      </c>
      <c r="D6" s="7" t="str">
        <f>"0,9731"</f>
        <v>0,9731</v>
      </c>
      <c r="E6" s="8" t="s">
        <v>31</v>
      </c>
      <c r="F6" s="8" t="s">
        <v>501</v>
      </c>
      <c r="G6" s="7" t="s">
        <v>69</v>
      </c>
      <c r="H6" s="7" t="s">
        <v>92</v>
      </c>
      <c r="I6" s="9" t="s">
        <v>287</v>
      </c>
      <c r="J6" s="9"/>
      <c r="K6" s="6" t="s">
        <v>233</v>
      </c>
      <c r="L6" s="7" t="str">
        <f>"150,8305"</f>
        <v>150,8305</v>
      </c>
      <c r="M6" s="8" t="s">
        <v>502</v>
      </c>
    </row>
    <row r="8" ht="15">
      <c r="E8" s="22" t="s">
        <v>101</v>
      </c>
    </row>
    <row r="9" ht="15">
      <c r="E9" s="22" t="s">
        <v>102</v>
      </c>
    </row>
    <row r="10" ht="15">
      <c r="E10" s="22" t="s">
        <v>103</v>
      </c>
    </row>
    <row r="11" ht="15">
      <c r="E11" s="22" t="s">
        <v>104</v>
      </c>
    </row>
    <row r="12" ht="15">
      <c r="E12" s="22" t="s">
        <v>104</v>
      </c>
    </row>
    <row r="13" ht="15">
      <c r="E13" s="22" t="s">
        <v>105</v>
      </c>
    </row>
    <row r="14" ht="15">
      <c r="E14" s="22"/>
    </row>
    <row r="16" spans="1:2" ht="17.25">
      <c r="A16" s="23" t="s">
        <v>106</v>
      </c>
      <c r="B16" s="24"/>
    </row>
    <row r="17" spans="1:2" ht="15">
      <c r="A17" s="25" t="s">
        <v>107</v>
      </c>
      <c r="B17" s="26"/>
    </row>
    <row r="18" spans="1:2" ht="14.25">
      <c r="A18" s="28" t="s">
        <v>108</v>
      </c>
      <c r="B18" s="29"/>
    </row>
    <row r="19" spans="1:5" ht="13.5">
      <c r="A19" s="30" t="s">
        <v>109</v>
      </c>
      <c r="B19" s="30" t="s">
        <v>110</v>
      </c>
      <c r="C19" s="30" t="s">
        <v>111</v>
      </c>
      <c r="D19" s="30" t="s">
        <v>112</v>
      </c>
      <c r="E19" s="30" t="s">
        <v>113</v>
      </c>
    </row>
    <row r="20" spans="1:5" ht="12.75">
      <c r="A20" s="27" t="s">
        <v>498</v>
      </c>
      <c r="B20" s="1" t="s">
        <v>114</v>
      </c>
      <c r="C20" s="1" t="s">
        <v>118</v>
      </c>
      <c r="D20" s="1" t="s">
        <v>92</v>
      </c>
      <c r="E20" s="4" t="s">
        <v>503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28.375" style="4" bestFit="1" customWidth="1"/>
    <col min="2" max="2" width="24.0039062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28.375" style="5" bestFit="1" customWidth="1"/>
    <col min="7" max="9" width="5.50390625" style="1" bestFit="1" customWidth="1"/>
    <col min="10" max="10" width="4.50390625" style="1" bestFit="1" customWidth="1"/>
    <col min="11" max="13" width="5.50390625" style="1" bestFit="1" customWidth="1"/>
    <col min="14" max="14" width="4.50390625" style="1" bestFit="1" customWidth="1"/>
    <col min="15" max="17" width="5.50390625" style="1" bestFit="1" customWidth="1"/>
    <col min="18" max="18" width="4.50390625" style="1" bestFit="1" customWidth="1"/>
    <col min="19" max="19" width="7.875" style="4" bestFit="1" customWidth="1"/>
    <col min="20" max="20" width="8.50390625" style="1" bestFit="1" customWidth="1"/>
    <col min="21" max="21" width="8.875" style="5" bestFit="1" customWidth="1"/>
    <col min="22" max="16384" width="9.125" style="1" customWidth="1"/>
  </cols>
  <sheetData>
    <row r="1" spans="1:21" ht="15" customHeight="1">
      <c r="A1" s="42" t="s">
        <v>504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1</v>
      </c>
      <c r="H3" s="38"/>
      <c r="I3" s="38"/>
      <c r="J3" s="38"/>
      <c r="K3" s="38" t="s">
        <v>2</v>
      </c>
      <c r="L3" s="38"/>
      <c r="M3" s="38"/>
      <c r="N3" s="38"/>
      <c r="O3" s="38" t="s">
        <v>3</v>
      </c>
      <c r="P3" s="38"/>
      <c r="Q3" s="38"/>
      <c r="R3" s="38"/>
      <c r="S3" s="38" t="s">
        <v>4</v>
      </c>
      <c r="T3" s="38" t="s">
        <v>7</v>
      </c>
      <c r="U3" s="53" t="s">
        <v>6</v>
      </c>
    </row>
    <row r="4" spans="1:21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39"/>
      <c r="T4" s="39"/>
      <c r="U4" s="54"/>
    </row>
    <row r="5" spans="1:20" ht="15">
      <c r="A5" s="55" t="s">
        <v>156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2.75">
      <c r="A6" s="6" t="s">
        <v>505</v>
      </c>
      <c r="B6" s="7" t="s">
        <v>506</v>
      </c>
      <c r="C6" s="7" t="s">
        <v>159</v>
      </c>
      <c r="D6" s="7" t="str">
        <f>"0,9110"</f>
        <v>0,9110</v>
      </c>
      <c r="E6" s="8" t="s">
        <v>31</v>
      </c>
      <c r="F6" s="8" t="s">
        <v>170</v>
      </c>
      <c r="G6" s="7" t="s">
        <v>33</v>
      </c>
      <c r="H6" s="7" t="s">
        <v>34</v>
      </c>
      <c r="I6" s="9" t="s">
        <v>25</v>
      </c>
      <c r="J6" s="9"/>
      <c r="K6" s="9" t="s">
        <v>43</v>
      </c>
      <c r="L6" s="7" t="s">
        <v>43</v>
      </c>
      <c r="M6" s="7" t="s">
        <v>21</v>
      </c>
      <c r="N6" s="9"/>
      <c r="O6" s="7" t="s">
        <v>42</v>
      </c>
      <c r="P6" s="7" t="s">
        <v>33</v>
      </c>
      <c r="Q6" s="9" t="s">
        <v>44</v>
      </c>
      <c r="R6" s="9"/>
      <c r="S6" s="6" t="s">
        <v>459</v>
      </c>
      <c r="T6" s="7" t="str">
        <f>"195,8650"</f>
        <v>195,8650</v>
      </c>
      <c r="U6" s="8" t="s">
        <v>27</v>
      </c>
    </row>
    <row r="8" spans="1:20" ht="15">
      <c r="A8" s="40" t="s">
        <v>71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2.75">
      <c r="A9" s="6" t="s">
        <v>507</v>
      </c>
      <c r="B9" s="7" t="s">
        <v>508</v>
      </c>
      <c r="C9" s="7" t="s">
        <v>509</v>
      </c>
      <c r="D9" s="7" t="str">
        <f>"0,6004"</f>
        <v>0,6004</v>
      </c>
      <c r="E9" s="8" t="s">
        <v>31</v>
      </c>
      <c r="F9" s="8" t="s">
        <v>17</v>
      </c>
      <c r="G9" s="9" t="s">
        <v>74</v>
      </c>
      <c r="H9" s="7" t="s">
        <v>58</v>
      </c>
      <c r="I9" s="7" t="s">
        <v>76</v>
      </c>
      <c r="J9" s="9"/>
      <c r="K9" s="7" t="s">
        <v>65</v>
      </c>
      <c r="L9" s="7" t="s">
        <v>69</v>
      </c>
      <c r="M9" s="9" t="s">
        <v>57</v>
      </c>
      <c r="N9" s="9"/>
      <c r="O9" s="9" t="s">
        <v>423</v>
      </c>
      <c r="P9" s="9" t="s">
        <v>323</v>
      </c>
      <c r="Q9" s="7" t="s">
        <v>323</v>
      </c>
      <c r="R9" s="9"/>
      <c r="S9" s="6" t="s">
        <v>510</v>
      </c>
      <c r="T9" s="7" t="str">
        <f>"327,2180"</f>
        <v>327,2180</v>
      </c>
      <c r="U9" s="8" t="s">
        <v>27</v>
      </c>
    </row>
    <row r="11" ht="15">
      <c r="E11" s="22" t="s">
        <v>101</v>
      </c>
    </row>
    <row r="12" ht="15">
      <c r="E12" s="22" t="s">
        <v>102</v>
      </c>
    </row>
    <row r="13" ht="15">
      <c r="E13" s="22" t="s">
        <v>103</v>
      </c>
    </row>
    <row r="14" ht="15">
      <c r="E14" s="22" t="s">
        <v>104</v>
      </c>
    </row>
    <row r="15" ht="15">
      <c r="E15" s="22" t="s">
        <v>104</v>
      </c>
    </row>
    <row r="16" ht="15">
      <c r="E16" s="22" t="s">
        <v>105</v>
      </c>
    </row>
    <row r="17" ht="15">
      <c r="E17" s="22"/>
    </row>
    <row r="19" spans="1:2" ht="17.25">
      <c r="A19" s="23" t="s">
        <v>106</v>
      </c>
      <c r="B19" s="24"/>
    </row>
    <row r="20" spans="1:2" ht="15">
      <c r="A20" s="25" t="s">
        <v>107</v>
      </c>
      <c r="B20" s="26"/>
    </row>
    <row r="21" spans="1:2" ht="14.25">
      <c r="A21" s="28" t="s">
        <v>357</v>
      </c>
      <c r="B21" s="29"/>
    </row>
    <row r="22" spans="1:5" ht="13.5">
      <c r="A22" s="30" t="s">
        <v>109</v>
      </c>
      <c r="B22" s="30" t="s">
        <v>110</v>
      </c>
      <c r="C22" s="30" t="s">
        <v>111</v>
      </c>
      <c r="D22" s="30" t="s">
        <v>112</v>
      </c>
      <c r="E22" s="30" t="s">
        <v>113</v>
      </c>
    </row>
    <row r="23" spans="1:5" ht="12.75">
      <c r="A23" s="27" t="s">
        <v>505</v>
      </c>
      <c r="B23" s="1" t="s">
        <v>511</v>
      </c>
      <c r="C23" s="1" t="s">
        <v>347</v>
      </c>
      <c r="D23" s="1" t="s">
        <v>435</v>
      </c>
      <c r="E23" s="4" t="s">
        <v>512</v>
      </c>
    </row>
    <row r="26" spans="1:2" ht="15">
      <c r="A26" s="25" t="s">
        <v>129</v>
      </c>
      <c r="B26" s="26"/>
    </row>
    <row r="27" spans="1:2" ht="14.25">
      <c r="A27" s="28" t="s">
        <v>108</v>
      </c>
      <c r="B27" s="29"/>
    </row>
    <row r="28" spans="1:5" ht="13.5">
      <c r="A28" s="30" t="s">
        <v>109</v>
      </c>
      <c r="B28" s="30" t="s">
        <v>110</v>
      </c>
      <c r="C28" s="30" t="s">
        <v>111</v>
      </c>
      <c r="D28" s="30" t="s">
        <v>112</v>
      </c>
      <c r="E28" s="30" t="s">
        <v>113</v>
      </c>
    </row>
    <row r="29" spans="1:5" ht="12.75">
      <c r="A29" s="27" t="s">
        <v>507</v>
      </c>
      <c r="B29" s="1" t="s">
        <v>114</v>
      </c>
      <c r="C29" s="1" t="s">
        <v>135</v>
      </c>
      <c r="D29" s="1" t="s">
        <v>513</v>
      </c>
      <c r="E29" s="4" t="s">
        <v>514</v>
      </c>
    </row>
  </sheetData>
  <sheetProtection/>
  <mergeCells count="15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28.375" style="4" bestFit="1" customWidth="1"/>
    <col min="2" max="2" width="24.0039062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28.375" style="5" bestFit="1" customWidth="1"/>
    <col min="7" max="9" width="5.50390625" style="1" bestFit="1" customWidth="1"/>
    <col min="10" max="10" width="4.50390625" style="1" bestFit="1" customWidth="1"/>
    <col min="11" max="13" width="5.50390625" style="1" bestFit="1" customWidth="1"/>
    <col min="14" max="14" width="4.50390625" style="1" bestFit="1" customWidth="1"/>
    <col min="15" max="17" width="5.50390625" style="1" bestFit="1" customWidth="1"/>
    <col min="18" max="18" width="4.50390625" style="1" bestFit="1" customWidth="1"/>
    <col min="19" max="19" width="7.875" style="4" bestFit="1" customWidth="1"/>
    <col min="20" max="20" width="8.50390625" style="1" bestFit="1" customWidth="1"/>
    <col min="21" max="21" width="8.875" style="5" bestFit="1" customWidth="1"/>
    <col min="22" max="16384" width="9.125" style="1" customWidth="1"/>
  </cols>
  <sheetData>
    <row r="1" spans="1:21" ht="15" customHeight="1">
      <c r="A1" s="42" t="s">
        <v>595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1</v>
      </c>
      <c r="H3" s="38"/>
      <c r="I3" s="38"/>
      <c r="J3" s="38"/>
      <c r="K3" s="38" t="s">
        <v>2</v>
      </c>
      <c r="L3" s="38"/>
      <c r="M3" s="38"/>
      <c r="N3" s="38"/>
      <c r="O3" s="38" t="s">
        <v>3</v>
      </c>
      <c r="P3" s="38"/>
      <c r="Q3" s="38"/>
      <c r="R3" s="38"/>
      <c r="S3" s="38" t="s">
        <v>4</v>
      </c>
      <c r="T3" s="38" t="s">
        <v>7</v>
      </c>
      <c r="U3" s="53" t="s">
        <v>6</v>
      </c>
    </row>
    <row r="4" spans="1:21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39"/>
      <c r="T4" s="39"/>
      <c r="U4" s="54"/>
    </row>
    <row r="5" spans="1:20" ht="15">
      <c r="A5" s="55" t="s">
        <v>86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2.75">
      <c r="A6" s="6" t="s">
        <v>596</v>
      </c>
      <c r="B6" s="7" t="s">
        <v>610</v>
      </c>
      <c r="C6" s="7" t="s">
        <v>597</v>
      </c>
      <c r="D6" s="7" t="s">
        <v>598</v>
      </c>
      <c r="E6" s="8" t="s">
        <v>31</v>
      </c>
      <c r="F6" s="8" t="s">
        <v>599</v>
      </c>
      <c r="G6" s="9" t="s">
        <v>600</v>
      </c>
      <c r="H6" s="7" t="s">
        <v>600</v>
      </c>
      <c r="I6" s="9" t="s">
        <v>601</v>
      </c>
      <c r="J6" s="9"/>
      <c r="K6" s="7" t="s">
        <v>602</v>
      </c>
      <c r="L6" s="7" t="s">
        <v>603</v>
      </c>
      <c r="M6" s="7" t="s">
        <v>604</v>
      </c>
      <c r="N6" s="9"/>
      <c r="O6" s="9" t="s">
        <v>605</v>
      </c>
      <c r="P6" s="7" t="s">
        <v>600</v>
      </c>
      <c r="Q6" s="9" t="s">
        <v>606</v>
      </c>
      <c r="R6" s="9"/>
      <c r="S6" s="6" t="s">
        <v>607</v>
      </c>
      <c r="T6" s="7" t="s">
        <v>608</v>
      </c>
      <c r="U6" s="8" t="s">
        <v>27</v>
      </c>
    </row>
    <row r="9" ht="15">
      <c r="E9" s="22" t="s">
        <v>101</v>
      </c>
    </row>
    <row r="10" ht="15">
      <c r="E10" s="22" t="s">
        <v>102</v>
      </c>
    </row>
    <row r="11" ht="15">
      <c r="E11" s="22" t="s">
        <v>103</v>
      </c>
    </row>
    <row r="12" ht="15">
      <c r="E12" s="22" t="s">
        <v>104</v>
      </c>
    </row>
    <row r="13" ht="15">
      <c r="E13" s="22" t="s">
        <v>104</v>
      </c>
    </row>
    <row r="14" ht="15">
      <c r="E14" s="22" t="s">
        <v>105</v>
      </c>
    </row>
    <row r="15" ht="15">
      <c r="E15" s="22"/>
    </row>
    <row r="17" spans="1:2" ht="17.25">
      <c r="A17" s="23" t="s">
        <v>106</v>
      </c>
      <c r="B17" s="24"/>
    </row>
    <row r="18" spans="1:2" ht="15">
      <c r="A18" s="25" t="s">
        <v>129</v>
      </c>
      <c r="B18" s="26"/>
    </row>
    <row r="19" spans="1:2" ht="14.25">
      <c r="A19" s="28" t="s">
        <v>108</v>
      </c>
      <c r="B19" s="29"/>
    </row>
    <row r="20" spans="1:5" ht="13.5">
      <c r="A20" s="30" t="s">
        <v>109</v>
      </c>
      <c r="B20" s="30" t="s">
        <v>110</v>
      </c>
      <c r="C20" s="30" t="s">
        <v>111</v>
      </c>
      <c r="D20" s="30" t="s">
        <v>112</v>
      </c>
      <c r="E20" s="30" t="s">
        <v>113</v>
      </c>
    </row>
    <row r="21" spans="1:5" ht="12.75">
      <c r="A21" s="27" t="s">
        <v>596</v>
      </c>
      <c r="B21" s="1" t="s">
        <v>114</v>
      </c>
      <c r="C21" s="1" t="s">
        <v>609</v>
      </c>
      <c r="D21" s="1" t="s">
        <v>607</v>
      </c>
      <c r="E21" s="37" t="s">
        <v>608</v>
      </c>
    </row>
  </sheetData>
  <sheetProtection/>
  <mergeCells count="14"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4">
      <selection activeCell="B39" sqref="B39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38.37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13.125" style="5" bestFit="1" customWidth="1"/>
    <col min="14" max="16384" width="9.125" style="1" customWidth="1"/>
  </cols>
  <sheetData>
    <row r="1" spans="1:13" ht="15" customHeight="1">
      <c r="A1" s="42" t="s">
        <v>515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6" t="s">
        <v>516</v>
      </c>
      <c r="B6" s="7" t="s">
        <v>517</v>
      </c>
      <c r="C6" s="7" t="s">
        <v>518</v>
      </c>
      <c r="D6" s="7" t="str">
        <f>"0,7268"</f>
        <v>0,7268</v>
      </c>
      <c r="E6" s="8" t="s">
        <v>31</v>
      </c>
      <c r="F6" s="8" t="s">
        <v>501</v>
      </c>
      <c r="G6" s="7" t="s">
        <v>77</v>
      </c>
      <c r="H6" s="9" t="s">
        <v>63</v>
      </c>
      <c r="I6" s="9" t="s">
        <v>63</v>
      </c>
      <c r="J6" s="9"/>
      <c r="K6" s="6" t="s">
        <v>196</v>
      </c>
      <c r="L6" s="7" t="str">
        <f>"87,2160"</f>
        <v>87,2160</v>
      </c>
      <c r="M6" s="8" t="s">
        <v>27</v>
      </c>
    </row>
    <row r="8" spans="1:12" ht="15">
      <c r="A8" s="40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6" t="s">
        <v>519</v>
      </c>
      <c r="B9" s="7" t="s">
        <v>520</v>
      </c>
      <c r="C9" s="7" t="s">
        <v>521</v>
      </c>
      <c r="D9" s="7" t="str">
        <f>"0,6745"</f>
        <v>0,6745</v>
      </c>
      <c r="E9" s="8" t="s">
        <v>31</v>
      </c>
      <c r="F9" s="8" t="s">
        <v>17</v>
      </c>
      <c r="G9" s="7" t="s">
        <v>64</v>
      </c>
      <c r="H9" s="7" t="s">
        <v>206</v>
      </c>
      <c r="I9" s="7" t="s">
        <v>68</v>
      </c>
      <c r="J9" s="9"/>
      <c r="K9" s="6" t="s">
        <v>303</v>
      </c>
      <c r="L9" s="7" t="str">
        <f>"94,4300"</f>
        <v>94,4300</v>
      </c>
      <c r="M9" s="8" t="s">
        <v>27</v>
      </c>
    </row>
    <row r="11" spans="1:12" ht="15">
      <c r="A11" s="40" t="s">
        <v>71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ht="12.75">
      <c r="A12" s="10" t="s">
        <v>522</v>
      </c>
      <c r="B12" s="11" t="s">
        <v>523</v>
      </c>
      <c r="C12" s="11" t="s">
        <v>448</v>
      </c>
      <c r="D12" s="11" t="str">
        <f>"0,5939"</f>
        <v>0,5939</v>
      </c>
      <c r="E12" s="12" t="s">
        <v>31</v>
      </c>
      <c r="F12" s="12" t="s">
        <v>524</v>
      </c>
      <c r="G12" s="11" t="s">
        <v>335</v>
      </c>
      <c r="H12" s="11" t="s">
        <v>58</v>
      </c>
      <c r="I12" s="11" t="s">
        <v>525</v>
      </c>
      <c r="J12" s="13"/>
      <c r="K12" s="10" t="s">
        <v>526</v>
      </c>
      <c r="L12" s="11" t="str">
        <f>"108,3868"</f>
        <v>108,3868</v>
      </c>
      <c r="M12" s="12" t="s">
        <v>27</v>
      </c>
    </row>
    <row r="13" spans="1:13" ht="12.75">
      <c r="A13" s="18" t="s">
        <v>527</v>
      </c>
      <c r="B13" s="19" t="s">
        <v>528</v>
      </c>
      <c r="C13" s="19" t="s">
        <v>529</v>
      </c>
      <c r="D13" s="19" t="str">
        <f>"0,6157"</f>
        <v>0,6157</v>
      </c>
      <c r="E13" s="20" t="s">
        <v>31</v>
      </c>
      <c r="F13" s="20" t="s">
        <v>530</v>
      </c>
      <c r="G13" s="19" t="s">
        <v>64</v>
      </c>
      <c r="H13" s="21" t="s">
        <v>65</v>
      </c>
      <c r="I13" s="19" t="s">
        <v>65</v>
      </c>
      <c r="J13" s="21"/>
      <c r="K13" s="18" t="s">
        <v>531</v>
      </c>
      <c r="L13" s="19" t="str">
        <f>"83,1195"</f>
        <v>83,1195</v>
      </c>
      <c r="M13" s="20" t="s">
        <v>27</v>
      </c>
    </row>
    <row r="15" spans="1:12" ht="15">
      <c r="A15" s="40" t="s">
        <v>80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3" ht="12.75">
      <c r="A16" s="10" t="s">
        <v>532</v>
      </c>
      <c r="B16" s="11" t="s">
        <v>533</v>
      </c>
      <c r="C16" s="11" t="s">
        <v>534</v>
      </c>
      <c r="D16" s="11" t="str">
        <f>"0,5589"</f>
        <v>0,5589</v>
      </c>
      <c r="E16" s="12" t="s">
        <v>16</v>
      </c>
      <c r="F16" s="12" t="s">
        <v>17</v>
      </c>
      <c r="G16" s="11" t="s">
        <v>127</v>
      </c>
      <c r="H16" s="11" t="s">
        <v>435</v>
      </c>
      <c r="I16" s="13" t="s">
        <v>458</v>
      </c>
      <c r="J16" s="13"/>
      <c r="K16" s="10" t="s">
        <v>459</v>
      </c>
      <c r="L16" s="11" t="str">
        <f>"120,1635"</f>
        <v>120,1635</v>
      </c>
      <c r="M16" s="12" t="s">
        <v>27</v>
      </c>
    </row>
    <row r="17" spans="1:13" ht="12.75">
      <c r="A17" s="14" t="s">
        <v>535</v>
      </c>
      <c r="B17" s="15" t="s">
        <v>536</v>
      </c>
      <c r="C17" s="15" t="s">
        <v>537</v>
      </c>
      <c r="D17" s="15" t="str">
        <f>"0,5619"</f>
        <v>0,5619</v>
      </c>
      <c r="E17" s="16" t="s">
        <v>31</v>
      </c>
      <c r="F17" s="16" t="s">
        <v>17</v>
      </c>
      <c r="G17" s="15" t="s">
        <v>78</v>
      </c>
      <c r="H17" s="17" t="s">
        <v>323</v>
      </c>
      <c r="I17" s="15" t="s">
        <v>323</v>
      </c>
      <c r="J17" s="17"/>
      <c r="K17" s="14" t="s">
        <v>324</v>
      </c>
      <c r="L17" s="15" t="str">
        <f>"115,1895"</f>
        <v>115,1895</v>
      </c>
      <c r="M17" s="16" t="s">
        <v>27</v>
      </c>
    </row>
    <row r="18" spans="1:13" ht="12.75">
      <c r="A18" s="14" t="s">
        <v>538</v>
      </c>
      <c r="B18" s="15" t="s">
        <v>539</v>
      </c>
      <c r="C18" s="15" t="s">
        <v>540</v>
      </c>
      <c r="D18" s="15" t="str">
        <f>"0,5586"</f>
        <v>0,5586</v>
      </c>
      <c r="E18" s="16" t="s">
        <v>31</v>
      </c>
      <c r="F18" s="16" t="s">
        <v>17</v>
      </c>
      <c r="G18" s="15" t="s">
        <v>78</v>
      </c>
      <c r="H18" s="15" t="s">
        <v>323</v>
      </c>
      <c r="I18" s="17" t="s">
        <v>127</v>
      </c>
      <c r="J18" s="17"/>
      <c r="K18" s="14" t="s">
        <v>324</v>
      </c>
      <c r="L18" s="15" t="str">
        <f>"114,5130"</f>
        <v>114,5130</v>
      </c>
      <c r="M18" s="16" t="s">
        <v>27</v>
      </c>
    </row>
    <row r="19" spans="1:13" ht="12.75">
      <c r="A19" s="14" t="s">
        <v>541</v>
      </c>
      <c r="B19" s="15" t="s">
        <v>542</v>
      </c>
      <c r="C19" s="15" t="s">
        <v>543</v>
      </c>
      <c r="D19" s="15" t="str">
        <f>"0,5573"</f>
        <v>0,5573</v>
      </c>
      <c r="E19" s="16" t="s">
        <v>31</v>
      </c>
      <c r="F19" s="16" t="s">
        <v>17</v>
      </c>
      <c r="G19" s="17" t="s">
        <v>57</v>
      </c>
      <c r="H19" s="17" t="s">
        <v>57</v>
      </c>
      <c r="I19" s="17" t="s">
        <v>57</v>
      </c>
      <c r="J19" s="17"/>
      <c r="K19" s="14" t="s">
        <v>59</v>
      </c>
      <c r="L19" s="15" t="str">
        <f>"0,0000"</f>
        <v>0,0000</v>
      </c>
      <c r="M19" s="16" t="s">
        <v>27</v>
      </c>
    </row>
    <row r="20" spans="1:13" ht="12.75">
      <c r="A20" s="14" t="s">
        <v>544</v>
      </c>
      <c r="B20" s="15" t="s">
        <v>545</v>
      </c>
      <c r="C20" s="15" t="s">
        <v>25</v>
      </c>
      <c r="D20" s="15" t="str">
        <f>"0,5557"</f>
        <v>0,5557</v>
      </c>
      <c r="E20" s="16" t="s">
        <v>31</v>
      </c>
      <c r="F20" s="16" t="s">
        <v>546</v>
      </c>
      <c r="G20" s="15" t="s">
        <v>227</v>
      </c>
      <c r="H20" s="15" t="s">
        <v>58</v>
      </c>
      <c r="I20" s="17"/>
      <c r="J20" s="17"/>
      <c r="K20" s="14" t="s">
        <v>547</v>
      </c>
      <c r="L20" s="15" t="str">
        <f>"100,0192"</f>
        <v>100,0192</v>
      </c>
      <c r="M20" s="16" t="s">
        <v>27</v>
      </c>
    </row>
    <row r="21" spans="1:13" ht="12.75">
      <c r="A21" s="18" t="s">
        <v>548</v>
      </c>
      <c r="B21" s="19" t="s">
        <v>549</v>
      </c>
      <c r="C21" s="19" t="s">
        <v>550</v>
      </c>
      <c r="D21" s="19" t="str">
        <f>"0,5936"</f>
        <v>0,5936</v>
      </c>
      <c r="E21" s="20" t="s">
        <v>225</v>
      </c>
      <c r="F21" s="20" t="s">
        <v>302</v>
      </c>
      <c r="G21" s="19" t="s">
        <v>57</v>
      </c>
      <c r="H21" s="19" t="s">
        <v>92</v>
      </c>
      <c r="I21" s="19" t="s">
        <v>93</v>
      </c>
      <c r="J21" s="21"/>
      <c r="K21" s="18" t="s">
        <v>282</v>
      </c>
      <c r="L21" s="19" t="str">
        <f>"94,9785"</f>
        <v>94,9785</v>
      </c>
      <c r="M21" s="20" t="s">
        <v>27</v>
      </c>
    </row>
    <row r="23" spans="1:12" ht="15">
      <c r="A23" s="40" t="s">
        <v>318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ht="12.75">
      <c r="A24" s="10" t="s">
        <v>551</v>
      </c>
      <c r="B24" s="11" t="s">
        <v>552</v>
      </c>
      <c r="C24" s="11" t="s">
        <v>553</v>
      </c>
      <c r="D24" s="11" t="str">
        <f>"0,5446"</f>
        <v>0,5446</v>
      </c>
      <c r="E24" s="12" t="s">
        <v>31</v>
      </c>
      <c r="F24" s="12" t="s">
        <v>554</v>
      </c>
      <c r="G24" s="11" t="s">
        <v>63</v>
      </c>
      <c r="H24" s="11" t="s">
        <v>65</v>
      </c>
      <c r="I24" s="13" t="s">
        <v>409</v>
      </c>
      <c r="J24" s="13"/>
      <c r="K24" s="10" t="s">
        <v>531</v>
      </c>
      <c r="L24" s="11" t="str">
        <f>"73,5210"</f>
        <v>73,5210</v>
      </c>
      <c r="M24" s="12" t="s">
        <v>27</v>
      </c>
    </row>
    <row r="25" spans="1:13" ht="12.75">
      <c r="A25" s="14" t="s">
        <v>555</v>
      </c>
      <c r="B25" s="15" t="s">
        <v>556</v>
      </c>
      <c r="C25" s="15" t="s">
        <v>557</v>
      </c>
      <c r="D25" s="15" t="str">
        <f>"0,5396"</f>
        <v>0,5396</v>
      </c>
      <c r="E25" s="16" t="s">
        <v>31</v>
      </c>
      <c r="F25" s="16" t="s">
        <v>286</v>
      </c>
      <c r="G25" s="15" t="s">
        <v>63</v>
      </c>
      <c r="H25" s="15" t="s">
        <v>259</v>
      </c>
      <c r="I25" s="17" t="s">
        <v>68</v>
      </c>
      <c r="J25" s="17"/>
      <c r="K25" s="14" t="s">
        <v>263</v>
      </c>
      <c r="L25" s="15" t="str">
        <f>"71,4970"</f>
        <v>71,4970</v>
      </c>
      <c r="M25" s="16" t="s">
        <v>558</v>
      </c>
    </row>
    <row r="26" spans="1:13" ht="12.75">
      <c r="A26" s="18" t="s">
        <v>559</v>
      </c>
      <c r="B26" s="19" t="s">
        <v>560</v>
      </c>
      <c r="C26" s="19" t="s">
        <v>561</v>
      </c>
      <c r="D26" s="19" t="str">
        <f>"0,5388"</f>
        <v>0,5388</v>
      </c>
      <c r="E26" s="20" t="s">
        <v>31</v>
      </c>
      <c r="F26" s="20" t="s">
        <v>17</v>
      </c>
      <c r="G26" s="19" t="s">
        <v>423</v>
      </c>
      <c r="H26" s="21" t="s">
        <v>562</v>
      </c>
      <c r="I26" s="21" t="s">
        <v>562</v>
      </c>
      <c r="J26" s="21"/>
      <c r="K26" s="18" t="s">
        <v>424</v>
      </c>
      <c r="L26" s="19" t="str">
        <f>"102,3720"</f>
        <v>102,3720</v>
      </c>
      <c r="M26" s="20" t="s">
        <v>27</v>
      </c>
    </row>
    <row r="28" spans="1:12" ht="15">
      <c r="A28" s="40" t="s">
        <v>86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 ht="12.75">
      <c r="A29" s="10" t="s">
        <v>563</v>
      </c>
      <c r="B29" s="11" t="s">
        <v>564</v>
      </c>
      <c r="C29" s="11" t="s">
        <v>565</v>
      </c>
      <c r="D29" s="11" t="str">
        <f>"0,5224"</f>
        <v>0,5224</v>
      </c>
      <c r="E29" s="12" t="s">
        <v>343</v>
      </c>
      <c r="F29" s="12" t="s">
        <v>17</v>
      </c>
      <c r="G29" s="13" t="s">
        <v>78</v>
      </c>
      <c r="H29" s="13"/>
      <c r="I29" s="13"/>
      <c r="J29" s="13"/>
      <c r="K29" s="10" t="s">
        <v>59</v>
      </c>
      <c r="L29" s="11" t="str">
        <f>"0,0000"</f>
        <v>0,0000</v>
      </c>
      <c r="M29" s="12" t="s">
        <v>27</v>
      </c>
    </row>
    <row r="30" spans="1:13" ht="12.75">
      <c r="A30" s="18" t="s">
        <v>563</v>
      </c>
      <c r="B30" s="19" t="s">
        <v>566</v>
      </c>
      <c r="C30" s="19" t="s">
        <v>565</v>
      </c>
      <c r="D30" s="19" t="str">
        <f>"0,7732"</f>
        <v>0,7732</v>
      </c>
      <c r="E30" s="20" t="s">
        <v>343</v>
      </c>
      <c r="F30" s="20" t="s">
        <v>17</v>
      </c>
      <c r="G30" s="21" t="s">
        <v>78</v>
      </c>
      <c r="H30" s="21"/>
      <c r="I30" s="21"/>
      <c r="J30" s="21"/>
      <c r="K30" s="18" t="s">
        <v>59</v>
      </c>
      <c r="L30" s="19" t="str">
        <f>"0,0000"</f>
        <v>0,0000</v>
      </c>
      <c r="M30" s="20" t="s">
        <v>27</v>
      </c>
    </row>
    <row r="32" ht="15">
      <c r="E32" s="22" t="s">
        <v>101</v>
      </c>
    </row>
    <row r="33" ht="15">
      <c r="E33" s="22" t="s">
        <v>102</v>
      </c>
    </row>
    <row r="34" ht="15">
      <c r="E34" s="22" t="s">
        <v>103</v>
      </c>
    </row>
    <row r="35" ht="15">
      <c r="E35" s="22" t="s">
        <v>104</v>
      </c>
    </row>
    <row r="36" ht="15">
      <c r="E36" s="22" t="s">
        <v>104</v>
      </c>
    </row>
    <row r="37" ht="15">
      <c r="E37" s="22" t="s">
        <v>105</v>
      </c>
    </row>
    <row r="38" ht="15">
      <c r="E38" s="22"/>
    </row>
    <row r="40" spans="1:2" ht="17.25">
      <c r="A40" s="23" t="s">
        <v>106</v>
      </c>
      <c r="B40" s="24"/>
    </row>
    <row r="41" spans="1:2" ht="15">
      <c r="A41" s="25" t="s">
        <v>129</v>
      </c>
      <c r="B41" s="26"/>
    </row>
    <row r="42" spans="1:2" ht="14.25">
      <c r="A42" s="28" t="s">
        <v>357</v>
      </c>
      <c r="B42" s="29"/>
    </row>
    <row r="43" spans="1:5" ht="13.5">
      <c r="A43" s="30" t="s">
        <v>109</v>
      </c>
      <c r="B43" s="30" t="s">
        <v>110</v>
      </c>
      <c r="C43" s="30" t="s">
        <v>111</v>
      </c>
      <c r="D43" s="30" t="s">
        <v>112</v>
      </c>
      <c r="E43" s="30" t="s">
        <v>113</v>
      </c>
    </row>
    <row r="44" spans="1:5" ht="12.75">
      <c r="A44" s="27" t="s">
        <v>551</v>
      </c>
      <c r="B44" s="1" t="s">
        <v>474</v>
      </c>
      <c r="C44" s="1" t="s">
        <v>364</v>
      </c>
      <c r="D44" s="1" t="s">
        <v>65</v>
      </c>
      <c r="E44" s="4" t="s">
        <v>567</v>
      </c>
    </row>
    <row r="46" spans="1:2" ht="14.25">
      <c r="A46" s="28" t="s">
        <v>130</v>
      </c>
      <c r="B46" s="29"/>
    </row>
    <row r="47" spans="1:5" ht="13.5">
      <c r="A47" s="30" t="s">
        <v>109</v>
      </c>
      <c r="B47" s="30" t="s">
        <v>110</v>
      </c>
      <c r="C47" s="30" t="s">
        <v>111</v>
      </c>
      <c r="D47" s="30" t="s">
        <v>112</v>
      </c>
      <c r="E47" s="30" t="s">
        <v>113</v>
      </c>
    </row>
    <row r="48" spans="1:5" ht="12.75">
      <c r="A48" s="27" t="s">
        <v>516</v>
      </c>
      <c r="B48" s="1" t="s">
        <v>131</v>
      </c>
      <c r="C48" s="1" t="s">
        <v>115</v>
      </c>
      <c r="D48" s="1" t="s">
        <v>77</v>
      </c>
      <c r="E48" s="4" t="s">
        <v>568</v>
      </c>
    </row>
    <row r="49" spans="1:5" ht="12.75">
      <c r="A49" s="27" t="s">
        <v>555</v>
      </c>
      <c r="B49" s="1" t="s">
        <v>131</v>
      </c>
      <c r="C49" s="1" t="s">
        <v>364</v>
      </c>
      <c r="D49" s="1" t="s">
        <v>259</v>
      </c>
      <c r="E49" s="4" t="s">
        <v>569</v>
      </c>
    </row>
    <row r="51" spans="1:2" ht="14.25">
      <c r="A51" s="28" t="s">
        <v>108</v>
      </c>
      <c r="B51" s="29"/>
    </row>
    <row r="52" spans="1:5" ht="13.5">
      <c r="A52" s="30" t="s">
        <v>109</v>
      </c>
      <c r="B52" s="30" t="s">
        <v>110</v>
      </c>
      <c r="C52" s="30" t="s">
        <v>111</v>
      </c>
      <c r="D52" s="30" t="s">
        <v>112</v>
      </c>
      <c r="E52" s="30" t="s">
        <v>113</v>
      </c>
    </row>
    <row r="53" spans="1:5" ht="12.75">
      <c r="A53" s="27" t="s">
        <v>532</v>
      </c>
      <c r="B53" s="1" t="s">
        <v>114</v>
      </c>
      <c r="C53" s="1" t="s">
        <v>368</v>
      </c>
      <c r="D53" s="1" t="s">
        <v>435</v>
      </c>
      <c r="E53" s="4" t="s">
        <v>570</v>
      </c>
    </row>
    <row r="54" spans="1:5" ht="12.75">
      <c r="A54" s="27" t="s">
        <v>535</v>
      </c>
      <c r="B54" s="1" t="s">
        <v>114</v>
      </c>
      <c r="C54" s="1" t="s">
        <v>368</v>
      </c>
      <c r="D54" s="1" t="s">
        <v>323</v>
      </c>
      <c r="E54" s="4" t="s">
        <v>571</v>
      </c>
    </row>
    <row r="55" spans="1:5" ht="12.75">
      <c r="A55" s="27" t="s">
        <v>538</v>
      </c>
      <c r="B55" s="1" t="s">
        <v>114</v>
      </c>
      <c r="C55" s="1" t="s">
        <v>368</v>
      </c>
      <c r="D55" s="1" t="s">
        <v>323</v>
      </c>
      <c r="E55" s="4" t="s">
        <v>572</v>
      </c>
    </row>
    <row r="56" spans="1:5" ht="12.75">
      <c r="A56" s="27" t="s">
        <v>522</v>
      </c>
      <c r="B56" s="1" t="s">
        <v>114</v>
      </c>
      <c r="C56" s="1" t="s">
        <v>135</v>
      </c>
      <c r="D56" s="1" t="s">
        <v>525</v>
      </c>
      <c r="E56" s="4" t="s">
        <v>573</v>
      </c>
    </row>
    <row r="57" spans="1:5" ht="12.75">
      <c r="A57" s="27" t="s">
        <v>559</v>
      </c>
      <c r="B57" s="1" t="s">
        <v>114</v>
      </c>
      <c r="C57" s="1" t="s">
        <v>364</v>
      </c>
      <c r="D57" s="1" t="s">
        <v>423</v>
      </c>
      <c r="E57" s="4" t="s">
        <v>574</v>
      </c>
    </row>
    <row r="58" spans="1:5" ht="12.75">
      <c r="A58" s="27" t="s">
        <v>519</v>
      </c>
      <c r="B58" s="1" t="s">
        <v>114</v>
      </c>
      <c r="C58" s="1" t="s">
        <v>355</v>
      </c>
      <c r="D58" s="1" t="s">
        <v>68</v>
      </c>
      <c r="E58" s="4" t="s">
        <v>575</v>
      </c>
    </row>
    <row r="59" spans="1:5" ht="12.75">
      <c r="A59" s="27" t="s">
        <v>527</v>
      </c>
      <c r="B59" s="1" t="s">
        <v>114</v>
      </c>
      <c r="C59" s="1" t="s">
        <v>135</v>
      </c>
      <c r="D59" s="1" t="s">
        <v>65</v>
      </c>
      <c r="E59" s="4" t="s">
        <v>576</v>
      </c>
    </row>
    <row r="61" spans="1:2" ht="14.25">
      <c r="A61" s="28" t="s">
        <v>124</v>
      </c>
      <c r="B61" s="29"/>
    </row>
    <row r="62" spans="1:5" ht="13.5">
      <c r="A62" s="30" t="s">
        <v>109</v>
      </c>
      <c r="B62" s="30" t="s">
        <v>110</v>
      </c>
      <c r="C62" s="30" t="s">
        <v>111</v>
      </c>
      <c r="D62" s="30" t="s">
        <v>112</v>
      </c>
      <c r="E62" s="30" t="s">
        <v>113</v>
      </c>
    </row>
    <row r="63" spans="1:5" ht="12.75">
      <c r="A63" s="27" t="s">
        <v>544</v>
      </c>
      <c r="B63" s="1" t="s">
        <v>141</v>
      </c>
      <c r="C63" s="1" t="s">
        <v>368</v>
      </c>
      <c r="D63" s="1" t="s">
        <v>58</v>
      </c>
      <c r="E63" s="4" t="s">
        <v>577</v>
      </c>
    </row>
    <row r="64" spans="1:5" ht="12.75">
      <c r="A64" s="27" t="s">
        <v>548</v>
      </c>
      <c r="B64" s="1" t="s">
        <v>125</v>
      </c>
      <c r="C64" s="1" t="s">
        <v>368</v>
      </c>
      <c r="D64" s="1" t="s">
        <v>93</v>
      </c>
      <c r="E64" s="4" t="s">
        <v>578</v>
      </c>
    </row>
  </sheetData>
  <sheetProtection/>
  <mergeCells count="17">
    <mergeCell ref="A28:L28"/>
    <mergeCell ref="M3:M4"/>
    <mergeCell ref="A5:L5"/>
    <mergeCell ref="A8:L8"/>
    <mergeCell ref="A11:L11"/>
    <mergeCell ref="A15:L15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B40" sqref="B40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34.50390625" style="5" bestFit="1" customWidth="1"/>
    <col min="7" max="9" width="5.50390625" style="1" bestFit="1" customWidth="1"/>
    <col min="10" max="10" width="4.50390625" style="1" bestFit="1" customWidth="1"/>
    <col min="11" max="11" width="7.875" style="4" bestFit="1" customWidth="1"/>
    <col min="12" max="12" width="8.50390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42" t="s">
        <v>612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12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/>
      <c r="J3" s="38"/>
      <c r="K3" s="38" t="s">
        <v>4</v>
      </c>
      <c r="L3" s="38" t="s">
        <v>7</v>
      </c>
      <c r="M3" s="53" t="s">
        <v>6</v>
      </c>
    </row>
    <row r="4" spans="1:13" s="2" customFormat="1" ht="21" customHeight="1" thickBot="1">
      <c r="A4" s="49"/>
      <c r="B4" s="39"/>
      <c r="C4" s="39"/>
      <c r="D4" s="39"/>
      <c r="E4" s="39"/>
      <c r="F4" s="39"/>
      <c r="G4" s="3">
        <v>1</v>
      </c>
      <c r="H4" s="3">
        <v>2</v>
      </c>
      <c r="I4" s="3">
        <v>3</v>
      </c>
      <c r="J4" s="3" t="s">
        <v>9</v>
      </c>
      <c r="K4" s="39"/>
      <c r="L4" s="39"/>
      <c r="M4" s="54"/>
    </row>
    <row r="5" spans="1:12" ht="15">
      <c r="A5" s="55" t="s">
        <v>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10" t="s">
        <v>201</v>
      </c>
      <c r="B6" s="11" t="s">
        <v>202</v>
      </c>
      <c r="C6" s="11" t="s">
        <v>203</v>
      </c>
      <c r="D6" s="11" t="str">
        <f>"0,7042"</f>
        <v>0,7042</v>
      </c>
      <c r="E6" s="12" t="s">
        <v>31</v>
      </c>
      <c r="F6" s="12" t="s">
        <v>204</v>
      </c>
      <c r="G6" s="11" t="s">
        <v>93</v>
      </c>
      <c r="H6" s="13" t="s">
        <v>227</v>
      </c>
      <c r="I6" s="13" t="s">
        <v>227</v>
      </c>
      <c r="J6" s="13"/>
      <c r="K6" s="10" t="s">
        <v>282</v>
      </c>
      <c r="L6" s="11" t="str">
        <f>"112,6640"</f>
        <v>112,6640</v>
      </c>
      <c r="M6" s="12" t="s">
        <v>27</v>
      </c>
    </row>
    <row r="7" spans="1:13" ht="12.75">
      <c r="A7" s="18" t="s">
        <v>613</v>
      </c>
      <c r="B7" s="19" t="s">
        <v>614</v>
      </c>
      <c r="C7" s="19" t="s">
        <v>615</v>
      </c>
      <c r="D7" s="19" t="str">
        <f>"0,7611"</f>
        <v>0,7611</v>
      </c>
      <c r="E7" s="20" t="s">
        <v>31</v>
      </c>
      <c r="F7" s="20" t="s">
        <v>322</v>
      </c>
      <c r="G7" s="19" t="s">
        <v>220</v>
      </c>
      <c r="H7" s="21" t="s">
        <v>93</v>
      </c>
      <c r="I7" s="19" t="s">
        <v>93</v>
      </c>
      <c r="J7" s="21"/>
      <c r="K7" s="18" t="s">
        <v>282</v>
      </c>
      <c r="L7" s="19" t="str">
        <f>"121,7726"</f>
        <v>121,7726</v>
      </c>
      <c r="M7" s="20" t="s">
        <v>27</v>
      </c>
    </row>
    <row r="9" spans="1:12" ht="15">
      <c r="A9" s="40" t="s">
        <v>71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ht="12.75">
      <c r="A10" s="10" t="s">
        <v>616</v>
      </c>
      <c r="B10" s="11" t="s">
        <v>617</v>
      </c>
      <c r="C10" s="11" t="s">
        <v>618</v>
      </c>
      <c r="D10" s="11" t="str">
        <f>"0,6295"</f>
        <v>0,6295</v>
      </c>
      <c r="E10" s="12" t="s">
        <v>237</v>
      </c>
      <c r="F10" s="12" t="s">
        <v>17</v>
      </c>
      <c r="G10" s="13" t="s">
        <v>435</v>
      </c>
      <c r="H10" s="13" t="s">
        <v>435</v>
      </c>
      <c r="I10" s="11" t="s">
        <v>435</v>
      </c>
      <c r="J10" s="13"/>
      <c r="K10" s="10" t="s">
        <v>459</v>
      </c>
      <c r="L10" s="11" t="str">
        <f>"135,3318"</f>
        <v>135,3318</v>
      </c>
      <c r="M10" s="12" t="s">
        <v>27</v>
      </c>
    </row>
    <row r="11" spans="1:13" ht="12.75">
      <c r="A11" s="14" t="s">
        <v>619</v>
      </c>
      <c r="B11" s="15" t="s">
        <v>620</v>
      </c>
      <c r="C11" s="15" t="s">
        <v>621</v>
      </c>
      <c r="D11" s="15" t="str">
        <f>"0,6299"</f>
        <v>0,6299</v>
      </c>
      <c r="E11" s="16" t="s">
        <v>237</v>
      </c>
      <c r="F11" s="16" t="s">
        <v>17</v>
      </c>
      <c r="G11" s="17" t="s">
        <v>57</v>
      </c>
      <c r="H11" s="17" t="s">
        <v>57</v>
      </c>
      <c r="I11" s="17" t="s">
        <v>57</v>
      </c>
      <c r="J11" s="17"/>
      <c r="K11" s="14" t="s">
        <v>59</v>
      </c>
      <c r="L11" s="15" t="str">
        <f>"0,0000"</f>
        <v>0,0000</v>
      </c>
      <c r="M11" s="16" t="s">
        <v>27</v>
      </c>
    </row>
    <row r="12" spans="1:13" ht="12.75">
      <c r="A12" s="18" t="s">
        <v>622</v>
      </c>
      <c r="B12" s="19" t="s">
        <v>623</v>
      </c>
      <c r="C12" s="19" t="s">
        <v>624</v>
      </c>
      <c r="D12" s="19" t="str">
        <f>"0,6242"</f>
        <v>0,6242</v>
      </c>
      <c r="E12" s="20" t="s">
        <v>31</v>
      </c>
      <c r="F12" s="20" t="s">
        <v>625</v>
      </c>
      <c r="G12" s="21" t="s">
        <v>75</v>
      </c>
      <c r="H12" s="21" t="s">
        <v>75</v>
      </c>
      <c r="I12" s="21" t="s">
        <v>75</v>
      </c>
      <c r="J12" s="21"/>
      <c r="K12" s="18" t="s">
        <v>59</v>
      </c>
      <c r="L12" s="19" t="str">
        <f>"0,0000"</f>
        <v>0,0000</v>
      </c>
      <c r="M12" s="20" t="s">
        <v>27</v>
      </c>
    </row>
    <row r="14" spans="1:12" ht="15">
      <c r="A14" s="40" t="s">
        <v>86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 ht="12.75">
      <c r="A15" s="6" t="s">
        <v>626</v>
      </c>
      <c r="B15" s="7" t="s">
        <v>627</v>
      </c>
      <c r="C15" s="7" t="s">
        <v>628</v>
      </c>
      <c r="D15" s="7" t="str">
        <f>"0,5471"</f>
        <v>0,5471</v>
      </c>
      <c r="E15" s="8" t="s">
        <v>31</v>
      </c>
      <c r="F15" s="8" t="s">
        <v>17</v>
      </c>
      <c r="G15" s="7" t="s">
        <v>95</v>
      </c>
      <c r="H15" s="7" t="s">
        <v>629</v>
      </c>
      <c r="I15" s="9" t="s">
        <v>630</v>
      </c>
      <c r="J15" s="9"/>
      <c r="K15" s="6" t="s">
        <v>631</v>
      </c>
      <c r="L15" s="7" t="str">
        <f>"142,2460"</f>
        <v>142,2460</v>
      </c>
      <c r="M15" s="8" t="s">
        <v>27</v>
      </c>
    </row>
    <row r="17" ht="15">
      <c r="E17" s="22" t="s">
        <v>101</v>
      </c>
    </row>
    <row r="18" ht="15">
      <c r="E18" s="22" t="s">
        <v>102</v>
      </c>
    </row>
    <row r="19" ht="15">
      <c r="E19" s="22" t="s">
        <v>103</v>
      </c>
    </row>
    <row r="20" ht="15">
      <c r="E20" s="22" t="s">
        <v>104</v>
      </c>
    </row>
    <row r="21" ht="15">
      <c r="E21" s="22" t="s">
        <v>104</v>
      </c>
    </row>
    <row r="22" ht="15">
      <c r="E22" s="22" t="s">
        <v>105</v>
      </c>
    </row>
    <row r="23" ht="15">
      <c r="E23" s="22"/>
    </row>
    <row r="25" spans="1:2" ht="17.25">
      <c r="A25" s="23" t="s">
        <v>106</v>
      </c>
      <c r="B25" s="24"/>
    </row>
    <row r="26" spans="1:2" ht="15">
      <c r="A26" s="25" t="s">
        <v>129</v>
      </c>
      <c r="B26" s="26"/>
    </row>
    <row r="27" spans="1:2" ht="14.25">
      <c r="A27" s="28" t="s">
        <v>108</v>
      </c>
      <c r="B27" s="29"/>
    </row>
    <row r="28" spans="1:5" ht="13.5">
      <c r="A28" s="30" t="s">
        <v>109</v>
      </c>
      <c r="B28" s="30" t="s">
        <v>110</v>
      </c>
      <c r="C28" s="30" t="s">
        <v>111</v>
      </c>
      <c r="D28" s="30" t="s">
        <v>112</v>
      </c>
      <c r="E28" s="30" t="s">
        <v>113</v>
      </c>
    </row>
    <row r="29" spans="1:5" ht="12.75">
      <c r="A29" s="27" t="s">
        <v>626</v>
      </c>
      <c r="B29" s="1" t="s">
        <v>114</v>
      </c>
      <c r="C29" s="1" t="s">
        <v>132</v>
      </c>
      <c r="D29" s="1" t="s">
        <v>629</v>
      </c>
      <c r="E29" s="4" t="s">
        <v>632</v>
      </c>
    </row>
    <row r="30" spans="1:5" ht="12.75">
      <c r="A30" s="27" t="s">
        <v>616</v>
      </c>
      <c r="B30" s="1" t="s">
        <v>114</v>
      </c>
      <c r="C30" s="1" t="s">
        <v>135</v>
      </c>
      <c r="D30" s="1" t="s">
        <v>435</v>
      </c>
      <c r="E30" s="4" t="s">
        <v>633</v>
      </c>
    </row>
    <row r="31" spans="1:5" ht="12.75">
      <c r="A31" s="27" t="s">
        <v>201</v>
      </c>
      <c r="B31" s="1" t="s">
        <v>114</v>
      </c>
      <c r="C31" s="1" t="s">
        <v>355</v>
      </c>
      <c r="D31" s="1" t="s">
        <v>93</v>
      </c>
      <c r="E31" s="4" t="s">
        <v>634</v>
      </c>
    </row>
    <row r="33" spans="1:2" ht="14.25">
      <c r="A33" s="28" t="s">
        <v>124</v>
      </c>
      <c r="B33" s="29"/>
    </row>
    <row r="34" spans="1:5" ht="13.5">
      <c r="A34" s="30" t="s">
        <v>109</v>
      </c>
      <c r="B34" s="30" t="s">
        <v>110</v>
      </c>
      <c r="C34" s="30" t="s">
        <v>111</v>
      </c>
      <c r="D34" s="30" t="s">
        <v>112</v>
      </c>
      <c r="E34" s="30" t="s">
        <v>113</v>
      </c>
    </row>
    <row r="35" spans="1:5" ht="12.75">
      <c r="A35" s="27" t="s">
        <v>613</v>
      </c>
      <c r="B35" s="1" t="s">
        <v>125</v>
      </c>
      <c r="C35" s="1" t="s">
        <v>355</v>
      </c>
      <c r="D35" s="1" t="s">
        <v>93</v>
      </c>
      <c r="E35" s="4" t="s">
        <v>635</v>
      </c>
    </row>
  </sheetData>
  <sheetProtection/>
  <mergeCells count="14">
    <mergeCell ref="M3:M4"/>
    <mergeCell ref="A5:L5"/>
    <mergeCell ref="A9:L9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19" right="0.47" top="0.45" bottom="0.49" header="0.5" footer="0.5"/>
  <pageSetup fitToHeight="100" fitToWidth="1"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B40" sqref="B40"/>
    </sheetView>
  </sheetViews>
  <sheetFormatPr defaultColWidth="9.125" defaultRowHeight="12.75"/>
  <cols>
    <col min="1" max="1" width="28.375" style="4" bestFit="1" customWidth="1"/>
    <col min="2" max="2" width="26.0039062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38.375" style="5" bestFit="1" customWidth="1"/>
    <col min="7" max="7" width="5.50390625" style="1" bestFit="1" customWidth="1"/>
    <col min="8" max="8" width="7.50390625" style="1" bestFit="1" customWidth="1"/>
    <col min="9" max="9" width="7.875" style="4" bestFit="1" customWidth="1"/>
    <col min="10" max="10" width="9.50390625" style="1" bestFit="1" customWidth="1"/>
    <col min="11" max="11" width="8.875" style="5" bestFit="1" customWidth="1"/>
    <col min="12" max="16384" width="9.125" style="1" customWidth="1"/>
  </cols>
  <sheetData>
    <row r="1" spans="1:11" ht="15" customHeight="1">
      <c r="A1" s="42" t="s">
        <v>636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2" customFormat="1" ht="12.75" customHeight="1">
      <c r="A3" s="48" t="s">
        <v>0</v>
      </c>
      <c r="B3" s="50" t="s">
        <v>637</v>
      </c>
      <c r="C3" s="38" t="s">
        <v>5</v>
      </c>
      <c r="D3" s="38" t="s">
        <v>10</v>
      </c>
      <c r="E3" s="38" t="s">
        <v>8</v>
      </c>
      <c r="F3" s="38" t="s">
        <v>11</v>
      </c>
      <c r="G3" s="38" t="s">
        <v>2</v>
      </c>
      <c r="H3" s="38"/>
      <c r="I3" s="38" t="s">
        <v>4</v>
      </c>
      <c r="J3" s="38" t="s">
        <v>7</v>
      </c>
      <c r="K3" s="53" t="s">
        <v>6</v>
      </c>
    </row>
    <row r="4" spans="1:11" s="2" customFormat="1" ht="21" customHeight="1" thickBot="1">
      <c r="A4" s="49"/>
      <c r="B4" s="39"/>
      <c r="C4" s="39"/>
      <c r="D4" s="39"/>
      <c r="E4" s="39"/>
      <c r="F4" s="39"/>
      <c r="G4" s="3" t="s">
        <v>638</v>
      </c>
      <c r="H4" s="3" t="s">
        <v>639</v>
      </c>
      <c r="I4" s="39"/>
      <c r="J4" s="39"/>
      <c r="K4" s="54"/>
    </row>
    <row r="5" spans="1:10" ht="15">
      <c r="A5" s="55" t="s">
        <v>54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2.75">
      <c r="A6" s="10" t="s">
        <v>640</v>
      </c>
      <c r="B6" s="11" t="s">
        <v>641</v>
      </c>
      <c r="C6" s="11" t="s">
        <v>642</v>
      </c>
      <c r="D6" s="11" t="str">
        <f>"0,7366"</f>
        <v>0,7366</v>
      </c>
      <c r="E6" s="12" t="s">
        <v>31</v>
      </c>
      <c r="F6" s="12" t="s">
        <v>643</v>
      </c>
      <c r="G6" s="11" t="s">
        <v>19</v>
      </c>
      <c r="H6" s="11" t="s">
        <v>644</v>
      </c>
      <c r="I6" s="10" t="s">
        <v>645</v>
      </c>
      <c r="J6" s="11" t="str">
        <f>"2217,1659"</f>
        <v>2217,1659</v>
      </c>
      <c r="K6" s="12" t="s">
        <v>27</v>
      </c>
    </row>
    <row r="7" spans="1:11" ht="12.75">
      <c r="A7" s="14" t="s">
        <v>201</v>
      </c>
      <c r="B7" s="15" t="s">
        <v>202</v>
      </c>
      <c r="C7" s="15" t="s">
        <v>646</v>
      </c>
      <c r="D7" s="15" t="str">
        <f>"0,7042"</f>
        <v>0,7042</v>
      </c>
      <c r="E7" s="16" t="s">
        <v>31</v>
      </c>
      <c r="F7" s="16" t="s">
        <v>204</v>
      </c>
      <c r="G7" s="15" t="s">
        <v>42</v>
      </c>
      <c r="H7" s="15" t="s">
        <v>647</v>
      </c>
      <c r="I7" s="14" t="s">
        <v>648</v>
      </c>
      <c r="J7" s="15" t="str">
        <f>"1531,5263"</f>
        <v>1531,5263</v>
      </c>
      <c r="K7" s="16" t="s">
        <v>27</v>
      </c>
    </row>
    <row r="8" spans="1:11" ht="12.75">
      <c r="A8" s="18" t="s">
        <v>649</v>
      </c>
      <c r="B8" s="19" t="s">
        <v>650</v>
      </c>
      <c r="C8" s="19" t="s">
        <v>642</v>
      </c>
      <c r="D8" s="19" t="str">
        <f>"0,7366"</f>
        <v>0,7366</v>
      </c>
      <c r="E8" s="20" t="s">
        <v>31</v>
      </c>
      <c r="F8" s="20" t="s">
        <v>17</v>
      </c>
      <c r="G8" s="19" t="s">
        <v>19</v>
      </c>
      <c r="H8" s="19" t="s">
        <v>651</v>
      </c>
      <c r="I8" s="18" t="s">
        <v>652</v>
      </c>
      <c r="J8" s="19" t="str">
        <f>"1289,0500"</f>
        <v>1289,0500</v>
      </c>
      <c r="K8" s="20" t="s">
        <v>27</v>
      </c>
    </row>
    <row r="10" spans="1:10" ht="15">
      <c r="A10" s="40" t="s">
        <v>60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1" ht="12.75">
      <c r="A11" s="10" t="s">
        <v>653</v>
      </c>
      <c r="B11" s="11" t="s">
        <v>654</v>
      </c>
      <c r="C11" s="11" t="s">
        <v>655</v>
      </c>
      <c r="D11" s="11" t="str">
        <f>"0,6641"</f>
        <v>0,6641</v>
      </c>
      <c r="E11" s="12" t="s">
        <v>31</v>
      </c>
      <c r="F11" s="12" t="s">
        <v>17</v>
      </c>
      <c r="G11" s="11" t="s">
        <v>33</v>
      </c>
      <c r="H11" s="11" t="s">
        <v>656</v>
      </c>
      <c r="I11" s="10" t="s">
        <v>657</v>
      </c>
      <c r="J11" s="11" t="str">
        <f>"1115,6880"</f>
        <v>1115,6880</v>
      </c>
      <c r="K11" s="12" t="s">
        <v>27</v>
      </c>
    </row>
    <row r="12" spans="1:11" ht="12.75">
      <c r="A12" s="14" t="s">
        <v>658</v>
      </c>
      <c r="B12" s="15" t="s">
        <v>659</v>
      </c>
      <c r="C12" s="15" t="s">
        <v>660</v>
      </c>
      <c r="D12" s="15" t="str">
        <f>"0,6497"</f>
        <v>0,6497</v>
      </c>
      <c r="E12" s="16" t="s">
        <v>31</v>
      </c>
      <c r="F12" s="16" t="s">
        <v>17</v>
      </c>
      <c r="G12" s="15" t="s">
        <v>67</v>
      </c>
      <c r="H12" s="15" t="s">
        <v>661</v>
      </c>
      <c r="I12" s="14" t="s">
        <v>662</v>
      </c>
      <c r="J12" s="15" t="str">
        <f>"1661,7356"</f>
        <v>1661,7356</v>
      </c>
      <c r="K12" s="16" t="s">
        <v>27</v>
      </c>
    </row>
    <row r="13" spans="1:11" ht="12.75">
      <c r="A13" s="18" t="s">
        <v>222</v>
      </c>
      <c r="B13" s="19" t="s">
        <v>223</v>
      </c>
      <c r="C13" s="19" t="s">
        <v>663</v>
      </c>
      <c r="D13" s="19" t="str">
        <f>"0,6561"</f>
        <v>0,6561</v>
      </c>
      <c r="E13" s="20" t="s">
        <v>225</v>
      </c>
      <c r="F13" s="20" t="s">
        <v>302</v>
      </c>
      <c r="G13" s="19" t="s">
        <v>67</v>
      </c>
      <c r="H13" s="19" t="s">
        <v>664</v>
      </c>
      <c r="I13" s="18" t="s">
        <v>665</v>
      </c>
      <c r="J13" s="19" t="str">
        <f>"1028,5151"</f>
        <v>1028,5151</v>
      </c>
      <c r="K13" s="20" t="s">
        <v>27</v>
      </c>
    </row>
    <row r="15" spans="1:10" ht="15">
      <c r="A15" s="40" t="s">
        <v>71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1" ht="12.75">
      <c r="A16" s="10" t="s">
        <v>666</v>
      </c>
      <c r="B16" s="11" t="s">
        <v>667</v>
      </c>
      <c r="C16" s="11" t="s">
        <v>668</v>
      </c>
      <c r="D16" s="11" t="str">
        <f>"0,6354"</f>
        <v>0,6354</v>
      </c>
      <c r="E16" s="12" t="s">
        <v>31</v>
      </c>
      <c r="F16" s="12" t="s">
        <v>17</v>
      </c>
      <c r="G16" s="11" t="s">
        <v>44</v>
      </c>
      <c r="H16" s="11" t="s">
        <v>669</v>
      </c>
      <c r="I16" s="10" t="s">
        <v>670</v>
      </c>
      <c r="J16" s="11" t="str">
        <f>"1620,2700"</f>
        <v>1620,2700</v>
      </c>
      <c r="K16" s="12" t="s">
        <v>27</v>
      </c>
    </row>
    <row r="17" spans="1:11" ht="12.75">
      <c r="A17" s="14" t="s">
        <v>441</v>
      </c>
      <c r="B17" s="15" t="s">
        <v>442</v>
      </c>
      <c r="C17" s="15" t="s">
        <v>671</v>
      </c>
      <c r="D17" s="15" t="str">
        <f>"0,6238"</f>
        <v>0,6238</v>
      </c>
      <c r="E17" s="16" t="s">
        <v>31</v>
      </c>
      <c r="F17" s="16" t="s">
        <v>17</v>
      </c>
      <c r="G17" s="15" t="s">
        <v>23</v>
      </c>
      <c r="H17" s="15" t="s">
        <v>672</v>
      </c>
      <c r="I17" s="14" t="s">
        <v>673</v>
      </c>
      <c r="J17" s="15" t="str">
        <f>"1419,2587"</f>
        <v>1419,2587</v>
      </c>
      <c r="K17" s="16" t="s">
        <v>27</v>
      </c>
    </row>
    <row r="18" spans="1:11" ht="12.75">
      <c r="A18" s="18" t="s">
        <v>674</v>
      </c>
      <c r="B18" s="19" t="s">
        <v>675</v>
      </c>
      <c r="C18" s="19" t="s">
        <v>676</v>
      </c>
      <c r="D18" s="19" t="str">
        <f>"0,6141"</f>
        <v>0,6141</v>
      </c>
      <c r="E18" s="20" t="s">
        <v>31</v>
      </c>
      <c r="F18" s="20" t="s">
        <v>17</v>
      </c>
      <c r="G18" s="21" t="s">
        <v>34</v>
      </c>
      <c r="H18" s="21"/>
      <c r="I18" s="18" t="s">
        <v>59</v>
      </c>
      <c r="J18" s="19" t="str">
        <f>"0,0000"</f>
        <v>0,0000</v>
      </c>
      <c r="K18" s="20" t="s">
        <v>27</v>
      </c>
    </row>
    <row r="20" spans="1:10" ht="15">
      <c r="A20" s="40" t="s">
        <v>80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1" ht="12.75">
      <c r="A21" s="10" t="s">
        <v>677</v>
      </c>
      <c r="B21" s="11" t="s">
        <v>678</v>
      </c>
      <c r="C21" s="11" t="s">
        <v>679</v>
      </c>
      <c r="D21" s="11" t="str">
        <f>"0,5825"</f>
        <v>0,5825</v>
      </c>
      <c r="E21" s="12" t="s">
        <v>31</v>
      </c>
      <c r="F21" s="12" t="s">
        <v>680</v>
      </c>
      <c r="G21" s="11" t="s">
        <v>25</v>
      </c>
      <c r="H21" s="11" t="s">
        <v>651</v>
      </c>
      <c r="I21" s="10" t="s">
        <v>681</v>
      </c>
      <c r="J21" s="11" t="str">
        <f>"1456,3750"</f>
        <v>1456,3750</v>
      </c>
      <c r="K21" s="12" t="s">
        <v>27</v>
      </c>
    </row>
    <row r="22" spans="1:11" ht="12.75">
      <c r="A22" s="14" t="s">
        <v>300</v>
      </c>
      <c r="B22" s="15" t="s">
        <v>223</v>
      </c>
      <c r="C22" s="15" t="s">
        <v>682</v>
      </c>
      <c r="D22" s="15" t="str">
        <f>"0,6007"</f>
        <v>0,6007</v>
      </c>
      <c r="E22" s="16" t="s">
        <v>225</v>
      </c>
      <c r="F22" s="16" t="s">
        <v>17</v>
      </c>
      <c r="G22" s="15" t="s">
        <v>24</v>
      </c>
      <c r="H22" s="15" t="s">
        <v>683</v>
      </c>
      <c r="I22" s="14" t="s">
        <v>684</v>
      </c>
      <c r="J22" s="15" t="str">
        <f>"855,9263"</f>
        <v>855,9263</v>
      </c>
      <c r="K22" s="16" t="s">
        <v>27</v>
      </c>
    </row>
    <row r="23" spans="1:11" ht="12.75">
      <c r="A23" s="18" t="s">
        <v>685</v>
      </c>
      <c r="B23" s="19" t="s">
        <v>686</v>
      </c>
      <c r="C23" s="19" t="s">
        <v>687</v>
      </c>
      <c r="D23" s="19" t="str">
        <f>"0,6050"</f>
        <v>0,6050</v>
      </c>
      <c r="E23" s="20" t="s">
        <v>31</v>
      </c>
      <c r="F23" s="20" t="s">
        <v>17</v>
      </c>
      <c r="G23" s="19" t="s">
        <v>199</v>
      </c>
      <c r="H23" s="19" t="s">
        <v>688</v>
      </c>
      <c r="I23" s="18" t="s">
        <v>689</v>
      </c>
      <c r="J23" s="19" t="str">
        <f>"783,4750"</f>
        <v>783,4750</v>
      </c>
      <c r="K23" s="20" t="s">
        <v>27</v>
      </c>
    </row>
    <row r="25" ht="15">
      <c r="E25" s="22" t="s">
        <v>101</v>
      </c>
    </row>
    <row r="26" ht="15">
      <c r="E26" s="22" t="s">
        <v>102</v>
      </c>
    </row>
    <row r="27" ht="15">
      <c r="E27" s="22" t="s">
        <v>103</v>
      </c>
    </row>
    <row r="28" ht="15">
      <c r="E28" s="22" t="s">
        <v>104</v>
      </c>
    </row>
    <row r="29" ht="15">
      <c r="E29" s="22" t="s">
        <v>104</v>
      </c>
    </row>
    <row r="30" ht="15">
      <c r="E30" s="22" t="s">
        <v>105</v>
      </c>
    </row>
    <row r="31" ht="15">
      <c r="E31" s="22"/>
    </row>
    <row r="33" spans="1:2" ht="17.25">
      <c r="A33" s="23" t="s">
        <v>106</v>
      </c>
      <c r="B33" s="24"/>
    </row>
    <row r="34" spans="1:2" ht="15">
      <c r="A34" s="25" t="s">
        <v>129</v>
      </c>
      <c r="B34" s="26"/>
    </row>
    <row r="35" spans="1:2" ht="14.25">
      <c r="A35" s="28" t="s">
        <v>130</v>
      </c>
      <c r="B35" s="29"/>
    </row>
    <row r="36" spans="1:5" ht="13.5">
      <c r="A36" s="30" t="s">
        <v>109</v>
      </c>
      <c r="B36" s="30" t="s">
        <v>110</v>
      </c>
      <c r="C36" s="30" t="s">
        <v>111</v>
      </c>
      <c r="D36" s="30" t="s">
        <v>112</v>
      </c>
      <c r="E36" s="30" t="s">
        <v>113</v>
      </c>
    </row>
    <row r="37" spans="1:5" ht="12.75">
      <c r="A37" s="27" t="s">
        <v>653</v>
      </c>
      <c r="B37" s="1" t="s">
        <v>131</v>
      </c>
      <c r="C37" s="1" t="s">
        <v>138</v>
      </c>
      <c r="D37" s="1" t="s">
        <v>690</v>
      </c>
      <c r="E37" s="4" t="s">
        <v>691</v>
      </c>
    </row>
    <row r="39" spans="1:2" ht="14.25">
      <c r="A39" s="28" t="s">
        <v>108</v>
      </c>
      <c r="B39" s="29"/>
    </row>
    <row r="40" spans="1:5" ht="13.5">
      <c r="A40" s="30" t="s">
        <v>109</v>
      </c>
      <c r="B40" s="30" t="s">
        <v>110</v>
      </c>
      <c r="C40" s="30" t="s">
        <v>111</v>
      </c>
      <c r="D40" s="30" t="s">
        <v>112</v>
      </c>
      <c r="E40" s="30" t="s">
        <v>113</v>
      </c>
    </row>
    <row r="41" spans="1:5" ht="12.75">
      <c r="A41" s="27" t="s">
        <v>640</v>
      </c>
      <c r="B41" s="1" t="s">
        <v>114</v>
      </c>
      <c r="C41" s="1" t="s">
        <v>355</v>
      </c>
      <c r="D41" s="1" t="s">
        <v>692</v>
      </c>
      <c r="E41" s="4" t="s">
        <v>693</v>
      </c>
    </row>
    <row r="42" spans="1:5" ht="12.75">
      <c r="A42" s="27" t="s">
        <v>658</v>
      </c>
      <c r="B42" s="1" t="s">
        <v>114</v>
      </c>
      <c r="C42" s="1" t="s">
        <v>138</v>
      </c>
      <c r="D42" s="1" t="s">
        <v>694</v>
      </c>
      <c r="E42" s="4" t="s">
        <v>695</v>
      </c>
    </row>
    <row r="43" spans="1:5" ht="12.75">
      <c r="A43" s="27" t="s">
        <v>666</v>
      </c>
      <c r="B43" s="1" t="s">
        <v>114</v>
      </c>
      <c r="C43" s="1" t="s">
        <v>135</v>
      </c>
      <c r="D43" s="1" t="s">
        <v>696</v>
      </c>
      <c r="E43" s="4" t="s">
        <v>697</v>
      </c>
    </row>
    <row r="44" spans="1:5" ht="12.75">
      <c r="A44" s="27" t="s">
        <v>201</v>
      </c>
      <c r="B44" s="1" t="s">
        <v>114</v>
      </c>
      <c r="C44" s="1" t="s">
        <v>355</v>
      </c>
      <c r="D44" s="1" t="s">
        <v>698</v>
      </c>
      <c r="E44" s="4" t="s">
        <v>699</v>
      </c>
    </row>
    <row r="45" spans="1:5" ht="12.75">
      <c r="A45" s="27" t="s">
        <v>677</v>
      </c>
      <c r="B45" s="1" t="s">
        <v>114</v>
      </c>
      <c r="C45" s="1" t="s">
        <v>368</v>
      </c>
      <c r="D45" s="1" t="s">
        <v>700</v>
      </c>
      <c r="E45" s="4" t="s">
        <v>701</v>
      </c>
    </row>
    <row r="46" spans="1:5" ht="12.75">
      <c r="A46" s="27" t="s">
        <v>441</v>
      </c>
      <c r="B46" s="1" t="s">
        <v>114</v>
      </c>
      <c r="C46" s="1" t="s">
        <v>135</v>
      </c>
      <c r="D46" s="1" t="s">
        <v>702</v>
      </c>
      <c r="E46" s="4" t="s">
        <v>703</v>
      </c>
    </row>
    <row r="47" spans="1:5" ht="12.75">
      <c r="A47" s="27" t="s">
        <v>649</v>
      </c>
      <c r="B47" s="1" t="s">
        <v>114</v>
      </c>
      <c r="C47" s="1" t="s">
        <v>355</v>
      </c>
      <c r="D47" s="1" t="s">
        <v>704</v>
      </c>
      <c r="E47" s="4" t="s">
        <v>705</v>
      </c>
    </row>
    <row r="48" spans="1:5" ht="12.75">
      <c r="A48" s="27" t="s">
        <v>222</v>
      </c>
      <c r="B48" s="1" t="s">
        <v>114</v>
      </c>
      <c r="C48" s="1" t="s">
        <v>138</v>
      </c>
      <c r="D48" s="1" t="s">
        <v>706</v>
      </c>
      <c r="E48" s="4" t="s">
        <v>707</v>
      </c>
    </row>
    <row r="49" spans="1:5" ht="12.75">
      <c r="A49" s="27" t="s">
        <v>300</v>
      </c>
      <c r="B49" s="1" t="s">
        <v>114</v>
      </c>
      <c r="C49" s="1" t="s">
        <v>368</v>
      </c>
      <c r="D49" s="1" t="s">
        <v>708</v>
      </c>
      <c r="E49" s="4" t="s">
        <v>709</v>
      </c>
    </row>
    <row r="50" spans="1:5" ht="12.75">
      <c r="A50" s="27" t="s">
        <v>685</v>
      </c>
      <c r="B50" s="1" t="s">
        <v>114</v>
      </c>
      <c r="C50" s="1" t="s">
        <v>368</v>
      </c>
      <c r="D50" s="1" t="s">
        <v>710</v>
      </c>
      <c r="E50" s="4" t="s">
        <v>711</v>
      </c>
    </row>
  </sheetData>
  <sheetProtection/>
  <mergeCells count="15">
    <mergeCell ref="K3:K4"/>
    <mergeCell ref="A5:J5"/>
    <mergeCell ref="A10:J10"/>
    <mergeCell ref="A15:J15"/>
    <mergeCell ref="A20:J2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19" right="0.47" top="0.45" bottom="0.49" header="0.5" footer="0.5"/>
  <pageSetup fitToHeight="100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Acer-pc</cp:lastModifiedBy>
  <cp:lastPrinted>2018-07-29T16:59:50Z</cp:lastPrinted>
  <dcterms:created xsi:type="dcterms:W3CDTF">2002-06-16T13:36:44Z</dcterms:created>
  <dcterms:modified xsi:type="dcterms:W3CDTF">2018-08-02T17:32:31Z</dcterms:modified>
  <cp:category/>
  <cp:version/>
  <cp:contentType/>
  <cp:contentStatus/>
</cp:coreProperties>
</file>