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WPA DL raw" sheetId="1" r:id="rId1"/>
    <sheet name="WPA DL raw" sheetId="2" r:id="rId2"/>
    <sheet name="AWPA BP raw" sheetId="3" r:id="rId3"/>
    <sheet name="AWPA PL raw" sheetId="4" r:id="rId4"/>
    <sheet name="WPA BP raw" sheetId="5" r:id="rId5"/>
    <sheet name="WPA PL raw" sheetId="6" r:id="rId6"/>
    <sheet name="AWPC BP soft eq" sheetId="7" r:id="rId7"/>
    <sheet name="WPC BP soft eq" sheetId="8" r:id="rId8"/>
    <sheet name="WPC M-Rep BP 1 bw" sheetId="9" r:id="rId9"/>
    <sheet name="AWPC M-Rep BP 1 bw" sheetId="10" r:id="rId10"/>
    <sheet name="AWPC M-Rep BP 0.5 bw" sheetId="11" r:id="rId11"/>
  </sheets>
  <definedNames>
    <definedName name="Excel_BuiltIn__FilterDatabase" localSheetId="5">'WPA PL raw'!$A$1:$S$3</definedName>
    <definedName name="Excel_BuiltIn__FilterDatabase" localSheetId="6">'AWPC BP soft eq'!$A$1:$K$3</definedName>
    <definedName name="Excel_BuiltIn__FilterDatabase" localSheetId="10">'AWPC M-Rep BP 0.5 bw'!$A$1:$K$3</definedName>
  </definedNames>
  <calcPr fullCalcOnLoad="1"/>
</workbook>
</file>

<file path=xl/sharedStrings.xml><?xml version="1.0" encoding="utf-8"?>
<sst xmlns="http://schemas.openxmlformats.org/spreadsheetml/2006/main" count="1727" uniqueCount="563">
  <si>
    <t>Open East Europe Championship WPA/AWPA 2018 AWPA DL raw
February, 4th. 2018</t>
  </si>
  <si>
    <t>Name</t>
  </si>
  <si>
    <t xml:space="preserve">Age Categoty
Bith date/Age
</t>
  </si>
  <si>
    <t>Body
weight</t>
  </si>
  <si>
    <t>Gloss</t>
  </si>
  <si>
    <t>Team</t>
  </si>
  <si>
    <t>Town</t>
  </si>
  <si>
    <t>Deadlift</t>
  </si>
  <si>
    <t>Totall</t>
  </si>
  <si>
    <t>Pts</t>
  </si>
  <si>
    <t>Coach</t>
  </si>
  <si>
    <t>Rec</t>
  </si>
  <si>
    <t>Body Weight Category  48</t>
  </si>
  <si>
    <t>Lushnikova Larisa</t>
  </si>
  <si>
    <t>Teen 16-17 (17.03.2001)/17</t>
  </si>
  <si>
    <t>47,63</t>
  </si>
  <si>
    <t>UP Fitness</t>
  </si>
  <si>
    <t>Zheleznodorozhnyy/Moskovskaya oblast</t>
  </si>
  <si>
    <t>45,0</t>
  </si>
  <si>
    <t>52,5</t>
  </si>
  <si>
    <t>55,0</t>
  </si>
  <si>
    <t>Body Weight Category  60</t>
  </si>
  <si>
    <t>Samsonova Olga</t>
  </si>
  <si>
    <t>Masters 40-44 (06.08.1975)/43</t>
  </si>
  <si>
    <t>59,42</t>
  </si>
  <si>
    <t>lichno</t>
  </si>
  <si>
    <t>Michurinsk/Tambovskaya oblast</t>
  </si>
  <si>
    <t>70,0</t>
  </si>
  <si>
    <t>80,0</t>
  </si>
  <si>
    <t>90,0</t>
  </si>
  <si>
    <t>Body Weight Category  67.5</t>
  </si>
  <si>
    <t>Kornienkova Marina</t>
  </si>
  <si>
    <t>Juniors 20-23 (16.12.1996)/22</t>
  </si>
  <si>
    <t>66,68</t>
  </si>
  <si>
    <t>Engels/Saratovskaya oblast</t>
  </si>
  <si>
    <t>120,0</t>
  </si>
  <si>
    <t>135,0</t>
  </si>
  <si>
    <t>142,5</t>
  </si>
  <si>
    <t>Mardonov Vladislav</t>
  </si>
  <si>
    <t>Teen 13-15 (24.04.2002)/16</t>
  </si>
  <si>
    <t>59,10</t>
  </si>
  <si>
    <t>85,0</t>
  </si>
  <si>
    <t>87,5</t>
  </si>
  <si>
    <t>Body Weight Category  75</t>
  </si>
  <si>
    <t>Osokin Alexandr</t>
  </si>
  <si>
    <t>Juniors 20-23 (22.03.1995)/23</t>
  </si>
  <si>
    <t>73,40</t>
  </si>
  <si>
    <t>Moscow</t>
  </si>
  <si>
    <t>160,0</t>
  </si>
  <si>
    <t>170,0</t>
  </si>
  <si>
    <t>177,5</t>
  </si>
  <si>
    <t>Body Weight Category  82.5</t>
  </si>
  <si>
    <t>Karasev Dmitriy</t>
  </si>
  <si>
    <t>Open (17.04.1985)/33</t>
  </si>
  <si>
    <t>80,60</t>
  </si>
  <si>
    <t>215,0</t>
  </si>
  <si>
    <t>Body Weight Category  90</t>
  </si>
  <si>
    <t>Sokirka Vitaliy</t>
  </si>
  <si>
    <t>Open (07.06.1993)/25</t>
  </si>
  <si>
    <t>85,30</t>
  </si>
  <si>
    <t>Moldova</t>
  </si>
  <si>
    <t>140,0</t>
  </si>
  <si>
    <t>155,0</t>
  </si>
  <si>
    <t>Body Weight Category  100</t>
  </si>
  <si>
    <t>Klepikov Ivan</t>
  </si>
  <si>
    <t>Open (31.05.1992)/26</t>
  </si>
  <si>
    <t>92,80</t>
  </si>
  <si>
    <t>Korolev/Moskovskaya oblast</t>
  </si>
  <si>
    <t>180,0</t>
  </si>
  <si>
    <t>202,5</t>
  </si>
  <si>
    <t>210,0</t>
  </si>
  <si>
    <t>Gladchenko Vladlen</t>
  </si>
  <si>
    <t>Masters 45-49 (23.10.1970)/48</t>
  </si>
  <si>
    <t>100,00</t>
  </si>
  <si>
    <t>220,0</t>
  </si>
  <si>
    <t>Usachev Igor</t>
  </si>
  <si>
    <t>Masters 50-54 (06.06.1965)/53</t>
  </si>
  <si>
    <t>95,00</t>
  </si>
  <si>
    <t>Russia</t>
  </si>
  <si>
    <t>Bryansk/Bryanskaya oblast</t>
  </si>
  <si>
    <t>195,0</t>
  </si>
  <si>
    <t>205,0</t>
  </si>
  <si>
    <t>Body Weight Category  110</t>
  </si>
  <si>
    <t>Korneev Aleksandr</t>
  </si>
  <si>
    <t>Open (23.03.1987)/31</t>
  </si>
  <si>
    <t>103,80</t>
  </si>
  <si>
    <t>240,0</t>
  </si>
  <si>
    <t>260,0</t>
  </si>
  <si>
    <t>275,0</t>
  </si>
  <si>
    <t>Body Weight Category  125</t>
  </si>
  <si>
    <t>Mkhitaryan Yuriy</t>
  </si>
  <si>
    <t>Open (17.12.1982)/36</t>
  </si>
  <si>
    <t>117,10</t>
  </si>
  <si>
    <t>Odintsovo/Moskovskaya oblast</t>
  </si>
  <si>
    <t>225,0</t>
  </si>
  <si>
    <t>235,0</t>
  </si>
  <si>
    <t>Samsonov Vadim</t>
  </si>
  <si>
    <t>Masters 40-44 (05.12.1974)/44</t>
  </si>
  <si>
    <t>124,30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</si>
  <si>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</si>
  <si>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</si>
  <si>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</si>
  <si>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</si>
  <si>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</si>
  <si>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</si>
  <si>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</si>
  <si>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</si>
  <si>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Teenagers</t>
  </si>
  <si>
    <t>Age class</t>
  </si>
  <si>
    <t>WC</t>
  </si>
  <si>
    <t>Coef.</t>
  </si>
  <si>
    <t>Teen 16-17</t>
  </si>
  <si>
    <t>48</t>
  </si>
  <si>
    <t>54,6263</t>
  </si>
  <si>
    <t>Junior</t>
  </si>
  <si>
    <t>Juniors 20-23</t>
  </si>
  <si>
    <t>67.5</t>
  </si>
  <si>
    <t>106,2045</t>
  </si>
  <si>
    <t>Masters</t>
  </si>
  <si>
    <t>Masters 40-44</t>
  </si>
  <si>
    <t>60</t>
  </si>
  <si>
    <t>78,7868</t>
  </si>
  <si>
    <t>Man</t>
  </si>
  <si>
    <t>Teen 13-15</t>
  </si>
  <si>
    <t>74,3130</t>
  </si>
  <si>
    <t>75</t>
  </si>
  <si>
    <t>119,9900</t>
  </si>
  <si>
    <t>Open</t>
  </si>
  <si>
    <t>110</t>
  </si>
  <si>
    <t>150,1225</t>
  </si>
  <si>
    <t>125</t>
  </si>
  <si>
    <t>124,4560</t>
  </si>
  <si>
    <t>100</t>
  </si>
  <si>
    <t>120,7710</t>
  </si>
  <si>
    <t>90</t>
  </si>
  <si>
    <t>93,8525</t>
  </si>
  <si>
    <t>Masters 50-54</t>
  </si>
  <si>
    <t>151,2534</t>
  </si>
  <si>
    <t>Masters 45-49</t>
  </si>
  <si>
    <t>130,0681</t>
  </si>
  <si>
    <t>124,8781</t>
  </si>
  <si>
    <t>Open East Europe Championship WPA/AWPA 2018 WPA DL raw
February, 4th. 2018</t>
  </si>
  <si>
    <t>Papikyan Siranush</t>
  </si>
  <si>
    <t>Juniors 20-23 (02.04.1994)/24</t>
  </si>
  <si>
    <t>69,85</t>
  </si>
  <si>
    <t>Saratov/Saratovskaya oblast</t>
  </si>
  <si>
    <t>175,0</t>
  </si>
  <si>
    <t>129,1320</t>
  </si>
  <si>
    <t>Open East Europe Championship WPA/AWPA 2018 AWPA BP raw
February, 4th. 2018</t>
  </si>
  <si>
    <t>Benchpress</t>
  </si>
  <si>
    <t>Body Weight Category  52</t>
  </si>
  <si>
    <t>Tatarintseva Yuliya</t>
  </si>
  <si>
    <t>Open (26.09.1993)/25</t>
  </si>
  <si>
    <t>51,26</t>
  </si>
  <si>
    <t>50,0</t>
  </si>
  <si>
    <t>Body Weight Category  56</t>
  </si>
  <si>
    <t>Ilinskaya Ekaterina</t>
  </si>
  <si>
    <t>Open (04.12.1988)/30</t>
  </si>
  <si>
    <t>56,25</t>
  </si>
  <si>
    <t>67,5</t>
  </si>
  <si>
    <t>Platonova Kristina</t>
  </si>
  <si>
    <t>Open (07.05.1990)/28</t>
  </si>
  <si>
    <t>54,89</t>
  </si>
  <si>
    <t>Sosnovyy Bor/Leningradskaya oblast</t>
  </si>
  <si>
    <t>60,0</t>
  </si>
  <si>
    <t>62,5</t>
  </si>
  <si>
    <t>65,0</t>
  </si>
  <si>
    <t>Kogut Oksana</t>
  </si>
  <si>
    <t>Open (10.10.1985)/33</t>
  </si>
  <si>
    <t>60,33</t>
  </si>
  <si>
    <t>72,5</t>
  </si>
  <si>
    <t>77,5</t>
  </si>
  <si>
    <t>57,5</t>
  </si>
  <si>
    <t>Basargina Olga</t>
  </si>
  <si>
    <t>Open (18.12.1981)/37</t>
  </si>
  <si>
    <t>89,81</t>
  </si>
  <si>
    <t>Bekov Abbos</t>
  </si>
  <si>
    <t>Open (22.07.1993)/25</t>
  </si>
  <si>
    <t>55,10</t>
  </si>
  <si>
    <t>92,5</t>
  </si>
  <si>
    <t>95,0</t>
  </si>
  <si>
    <t>Umerenkov Daniil</t>
  </si>
  <si>
    <t>Teen 13-15 (01.03.2004)/14</t>
  </si>
  <si>
    <t>65,40</t>
  </si>
  <si>
    <t>Kursk/Kurskaya oblast</t>
  </si>
  <si>
    <t>Umerenkov I.Yu.</t>
  </si>
  <si>
    <t>Tarasov Aleksey</t>
  </si>
  <si>
    <t>Open (09.05.1989)/29</t>
  </si>
  <si>
    <t>63,80</t>
  </si>
  <si>
    <t>Orekhovo-Zuyevo/Moskovskaya oblast</t>
  </si>
  <si>
    <t>107,5</t>
  </si>
  <si>
    <t>115,0</t>
  </si>
  <si>
    <t>125,0</t>
  </si>
  <si>
    <t>Voronov Evgeniy</t>
  </si>
  <si>
    <t>Open (14.12.1986)/32</t>
  </si>
  <si>
    <t>67,40</t>
  </si>
  <si>
    <t>Monino/Moskovskaya oblast</t>
  </si>
  <si>
    <t>102,5</t>
  </si>
  <si>
    <t>110,0</t>
  </si>
  <si>
    <t>Open (01.03.2004)/14</t>
  </si>
  <si>
    <t>Izmaylov Renat</t>
  </si>
  <si>
    <t>Open (01.12.1993)/25</t>
  </si>
  <si>
    <t>73,60</t>
  </si>
  <si>
    <t>130,0</t>
  </si>
  <si>
    <t>Kuklin Denis</t>
  </si>
  <si>
    <t>Open (06.09.1989)/29</t>
  </si>
  <si>
    <t>73,90</t>
  </si>
  <si>
    <t>Novosibirsk/Novosibirskaya oblast</t>
  </si>
  <si>
    <t>Sharonov Rodion</t>
  </si>
  <si>
    <t>Open (21.05.1989)/29</t>
  </si>
  <si>
    <t>73,30</t>
  </si>
  <si>
    <t>Dmitrov/Moskovskaya oblast</t>
  </si>
  <si>
    <t>Ovchinnikov Sergey</t>
  </si>
  <si>
    <t>Open (25.12.1982)/36</t>
  </si>
  <si>
    <t>81,80</t>
  </si>
  <si>
    <t>Khimki/Moskovskaya oblast</t>
  </si>
  <si>
    <t>157,5</t>
  </si>
  <si>
    <t>167,5</t>
  </si>
  <si>
    <t>Silivonets Vladimir</t>
  </si>
  <si>
    <t>Open (22.04.1986)/32</t>
  </si>
  <si>
    <t>80,10</t>
  </si>
  <si>
    <t>127,5</t>
  </si>
  <si>
    <t>132,5</t>
  </si>
  <si>
    <t>Izmaylov Ruslan</t>
  </si>
  <si>
    <t>Juniors 20-23 (18.01.1997)/21</t>
  </si>
  <si>
    <t>87,50</t>
  </si>
  <si>
    <t>145,0</t>
  </si>
  <si>
    <t>150,0</t>
  </si>
  <si>
    <t>Shulov Anton</t>
  </si>
  <si>
    <t>Juniors 20-23 (16.06.1995)/23</t>
  </si>
  <si>
    <t>85,60</t>
  </si>
  <si>
    <t>Sergiyev Posad/Moskovskaya oblast</t>
  </si>
  <si>
    <t>147,5</t>
  </si>
  <si>
    <t>152,5</t>
  </si>
  <si>
    <t>Vorobyov Sergey</t>
  </si>
  <si>
    <t>Open (26.04.1980)/38</t>
  </si>
  <si>
    <t>83,00</t>
  </si>
  <si>
    <t>Zelenograd/Moskovskaya oblast</t>
  </si>
  <si>
    <t>Fedichkin Aleksey</t>
  </si>
  <si>
    <t>Masters 40-44 (13.12.1975)/43</t>
  </si>
  <si>
    <t>89,10</t>
  </si>
  <si>
    <t>Perov Yuriy</t>
  </si>
  <si>
    <t>Masters 45-49 (04.01.1973)/45</t>
  </si>
  <si>
    <t>89,40</t>
  </si>
  <si>
    <t>Sochi/Krasnodarskiy kray</t>
  </si>
  <si>
    <t>165,0</t>
  </si>
  <si>
    <t>Osipov Konstantin</t>
  </si>
  <si>
    <t>Masters 45-49 (19.03.1969)/49</t>
  </si>
  <si>
    <t>88,60</t>
  </si>
  <si>
    <t>Podporozhye/Leningradskaya oblast</t>
  </si>
  <si>
    <t>Khramchenko Artem</t>
  </si>
  <si>
    <t>Teen 18-19 (22.04.1998)/20</t>
  </si>
  <si>
    <t>96,30</t>
  </si>
  <si>
    <t>Sergeychik Vladislav</t>
  </si>
  <si>
    <t>Juniors 20-23 (01.03.1995)/23</t>
  </si>
  <si>
    <t>95,60</t>
  </si>
  <si>
    <t>Belarus</t>
  </si>
  <si>
    <t>185,0</t>
  </si>
  <si>
    <t>200,0</t>
  </si>
  <si>
    <t>Kiryanov Alexey</t>
  </si>
  <si>
    <t>Open (07.04.1989)/29</t>
  </si>
  <si>
    <t>99,50</t>
  </si>
  <si>
    <t>Irongame</t>
  </si>
  <si>
    <t>Volgograd/Volgogradskaya oblast</t>
  </si>
  <si>
    <t>190,0</t>
  </si>
  <si>
    <t>Vaskes Andrey</t>
  </si>
  <si>
    <t>Open (21.04.1984)/34</t>
  </si>
  <si>
    <t>97,70</t>
  </si>
  <si>
    <t>Eremin Vladimir</t>
  </si>
  <si>
    <t>Masters 40-44 (14.07.1975)/43</t>
  </si>
  <si>
    <t>98,60</t>
  </si>
  <si>
    <t>Kolomna/Moskovskaya oblast</t>
  </si>
  <si>
    <t>Shabanov Vadim</t>
  </si>
  <si>
    <t>Masters 45-49 (03.02.1972)/46</t>
  </si>
  <si>
    <t>94,10</t>
  </si>
  <si>
    <t>Konszerskiy Gennadiy</t>
  </si>
  <si>
    <t>Masters 45-49 (26.05.1971)/47</t>
  </si>
  <si>
    <t>96,90</t>
  </si>
  <si>
    <t>Metrischev Abdul-Rashid</t>
  </si>
  <si>
    <t>Open (10.01.1974)/44</t>
  </si>
  <si>
    <t>101,50</t>
  </si>
  <si>
    <t>Masters 40-44 (10.01.1974)/44</t>
  </si>
  <si>
    <t>Bichkov Igor</t>
  </si>
  <si>
    <t>Masters 45-49 (18.06.1970)/48</t>
  </si>
  <si>
    <t>114,90</t>
  </si>
  <si>
    <t>172,5</t>
  </si>
  <si>
    <t>Chubarov Vladimir</t>
  </si>
  <si>
    <t>Masters 50-54 (03.04.1964)/54</t>
  </si>
  <si>
    <t>123,90</t>
  </si>
  <si>
    <t>66,4020</t>
  </si>
  <si>
    <t>56</t>
  </si>
  <si>
    <t>61,3305</t>
  </si>
  <si>
    <t>60,2095</t>
  </si>
  <si>
    <t>52</t>
  </si>
  <si>
    <t>49,0450</t>
  </si>
  <si>
    <t>41,0605</t>
  </si>
  <si>
    <t>50,3360</t>
  </si>
  <si>
    <t>Teen 18-19</t>
  </si>
  <si>
    <t>84,5850</t>
  </si>
  <si>
    <t>59,7680</t>
  </si>
  <si>
    <t>104,7100</t>
  </si>
  <si>
    <t>89,3400</t>
  </si>
  <si>
    <t>104,6140</t>
  </si>
  <si>
    <t>100,9915</t>
  </si>
  <si>
    <t>99,9540</t>
  </si>
  <si>
    <t>82.5</t>
  </si>
  <si>
    <t>99,6800</t>
  </si>
  <si>
    <t>95,5875</t>
  </si>
  <si>
    <t>87,6850</t>
  </si>
  <si>
    <t>87,3990</t>
  </si>
  <si>
    <t>84,6070</t>
  </si>
  <si>
    <t>83,7930</t>
  </si>
  <si>
    <t>79,9480</t>
  </si>
  <si>
    <t>78,3860</t>
  </si>
  <si>
    <t>77,0875</t>
  </si>
  <si>
    <t>115,4802</t>
  </si>
  <si>
    <t>107,8570</t>
  </si>
  <si>
    <t>101,6251</t>
  </si>
  <si>
    <t>101,5696</t>
  </si>
  <si>
    <t>100,6629</t>
  </si>
  <si>
    <t>94,9731</t>
  </si>
  <si>
    <t>92,4206</t>
  </si>
  <si>
    <t>91,6513</t>
  </si>
  <si>
    <t>90,6155</t>
  </si>
  <si>
    <t>81,5650</t>
  </si>
  <si>
    <t>Open East Europe Championship WPA/AWPA 2018 AWPA PL raw
February, 4th. 2018</t>
  </si>
  <si>
    <t>Squat</t>
  </si>
  <si>
    <t>Kurbanova Khadishat</t>
  </si>
  <si>
    <t>Open (03.08.1985)/33</t>
  </si>
  <si>
    <t>112,5</t>
  </si>
  <si>
    <t>117,5</t>
  </si>
  <si>
    <t>Gadetskaya Mariya</t>
  </si>
  <si>
    <t>Open (19.04.1987)/31</t>
  </si>
  <si>
    <t>63,50</t>
  </si>
  <si>
    <t>Klin/Moskovskaya oblast</t>
  </si>
  <si>
    <t>105,0</t>
  </si>
  <si>
    <t>Kurkin Dmitriy</t>
  </si>
  <si>
    <t>Teen 16-17 (27.03.2001)/17</t>
  </si>
  <si>
    <t>64,50</t>
  </si>
  <si>
    <t>100,0</t>
  </si>
  <si>
    <t>Mardonov Ruslan</t>
  </si>
  <si>
    <t>Open (23.06.1978)/40</t>
  </si>
  <si>
    <t>104,40</t>
  </si>
  <si>
    <t>Lileev Alexey</t>
  </si>
  <si>
    <t>Masters 45-49 (03.09.1972)/46</t>
  </si>
  <si>
    <t>102,60</t>
  </si>
  <si>
    <t>Rossiya</t>
  </si>
  <si>
    <t>Lytkarino/Moskovskaya oblast</t>
  </si>
  <si>
    <t>197,5</t>
  </si>
  <si>
    <t>292,5</t>
  </si>
  <si>
    <t>304,3463</t>
  </si>
  <si>
    <t>305,0</t>
  </si>
  <si>
    <t>250,1610</t>
  </si>
  <si>
    <t>330,0</t>
  </si>
  <si>
    <t>249,7440</t>
  </si>
  <si>
    <t>480,0</t>
  </si>
  <si>
    <t>261,5040</t>
  </si>
  <si>
    <t>500,0</t>
  </si>
  <si>
    <t>287,3092</t>
  </si>
  <si>
    <t>Open East Europe Championship WPA/AWPA 2018 WPA BP raw
February, 4th. 2018</t>
  </si>
  <si>
    <t>Akhmedov Asaf</t>
  </si>
  <si>
    <t>Masters 50-54 (23.07.1965)/53</t>
  </si>
  <si>
    <t>86,40</t>
  </si>
  <si>
    <t>100,4259</t>
  </si>
  <si>
    <t>Open East Europe Championship WPA/AWPA 2018 WPA PL raw
February, 4th. 2018</t>
  </si>
  <si>
    <t>Zizdok Sergey</t>
  </si>
  <si>
    <t>Open (23.04.1988)/30</t>
  </si>
  <si>
    <t>72,40</t>
  </si>
  <si>
    <t>Kryuchkov Sergey</t>
  </si>
  <si>
    <t>Masters 45-49 (22.06.1970)/48</t>
  </si>
  <si>
    <t>69,10</t>
  </si>
  <si>
    <t>Zabrovskiy Pavel</t>
  </si>
  <si>
    <t>Open (03.08.1979)/39</t>
  </si>
  <si>
    <t>97,20</t>
  </si>
  <si>
    <t>250,0</t>
  </si>
  <si>
    <t>267,5</t>
  </si>
  <si>
    <t>Chuzhakov Dmitriy</t>
  </si>
  <si>
    <t>Open (10.10.1989)/29</t>
  </si>
  <si>
    <t>96,40</t>
  </si>
  <si>
    <t>Lyubertsy/Moskovskaya oblast</t>
  </si>
  <si>
    <t>280,0</t>
  </si>
  <si>
    <t>Koptev Mikhail</t>
  </si>
  <si>
    <t>Open (17.06.1991)/27</t>
  </si>
  <si>
    <t>106,40</t>
  </si>
  <si>
    <t>270,0</t>
  </si>
  <si>
    <t>290,0</t>
  </si>
  <si>
    <t>310,0</t>
  </si>
  <si>
    <t>315,0</t>
  </si>
  <si>
    <t>790,0</t>
  </si>
  <si>
    <t>427,7060</t>
  </si>
  <si>
    <t>715,0</t>
  </si>
  <si>
    <t>401,3295</t>
  </si>
  <si>
    <t>645,0</t>
  </si>
  <si>
    <t>363,5220</t>
  </si>
  <si>
    <t>170,8750</t>
  </si>
  <si>
    <t>213,5133</t>
  </si>
  <si>
    <t>Open East Europe Championship WPA/AWPA 2018 AWPC soft benchpress
February, 4th 2018</t>
  </si>
  <si>
    <t>54,80</t>
  </si>
  <si>
    <t>75,0</t>
  </si>
  <si>
    <t>82,5</t>
  </si>
  <si>
    <t>Prokopova Elena</t>
  </si>
  <si>
    <t>Masters 50-54 (07.03.1966)/52</t>
  </si>
  <si>
    <t>66,50</t>
  </si>
  <si>
    <t>122,5</t>
  </si>
  <si>
    <t>Umerenkova Yuliya</t>
  </si>
  <si>
    <t>Open (09.12.1980)/38</t>
  </si>
  <si>
    <t>71,20</t>
  </si>
  <si>
    <t>133,0</t>
  </si>
  <si>
    <t>Verzilov Sergey</t>
  </si>
  <si>
    <t>Open (15.10.1986)/32</t>
  </si>
  <si>
    <t>99,20</t>
  </si>
  <si>
    <t>230,0</t>
  </si>
  <si>
    <t>Ivanov Igor</t>
  </si>
  <si>
    <t>Masters 45-49 (05.08.1968)/50</t>
  </si>
  <si>
    <t>95,40</t>
  </si>
  <si>
    <t>Petrov Aleksey</t>
  </si>
  <si>
    <t>Masters 40-44 (25.03.1975)/43</t>
  </si>
  <si>
    <t>124,70</t>
  </si>
  <si>
    <t>110,4405</t>
  </si>
  <si>
    <t>92,9425</t>
  </si>
  <si>
    <t>127,8899</t>
  </si>
  <si>
    <t>134,1590</t>
  </si>
  <si>
    <t>151,9941</t>
  </si>
  <si>
    <t>116,8997</t>
  </si>
  <si>
    <t>Open East Europe Championship WPA/AWPA 2018 WPC soft benchpress
February, 4th 2018</t>
  </si>
  <si>
    <t>Ilyushin Ruslan</t>
  </si>
  <si>
    <t>Open (25.02.1991)/27</t>
  </si>
  <si>
    <t>87,60</t>
  </si>
  <si>
    <t>245,0</t>
  </si>
  <si>
    <t>252,5</t>
  </si>
  <si>
    <t>Prudnikov Sergey</t>
  </si>
  <si>
    <t>Open (31.03.1981)/37</t>
  </si>
  <si>
    <t>115,60</t>
  </si>
  <si>
    <t>300,0</t>
  </si>
  <si>
    <t>327,5</t>
  </si>
  <si>
    <t>Kanaev Aleksandr</t>
  </si>
  <si>
    <t>Open (06.08.1988)/30</t>
  </si>
  <si>
    <t>111,30</t>
  </si>
  <si>
    <t>Gorbachev Dmitriy</t>
  </si>
  <si>
    <t>Masters 45-49 (06.03.1970)/48</t>
  </si>
  <si>
    <t>111,90</t>
  </si>
  <si>
    <t>Ramenskoye/Moskovskaya oblast</t>
  </si>
  <si>
    <t>172,2360</t>
  </si>
  <si>
    <t>162,6030</t>
  </si>
  <si>
    <t>156,8909</t>
  </si>
  <si>
    <t>198,4034</t>
  </si>
  <si>
    <t>Open East Europe Championship WPA/AWPA 2018 Multy repeat BP WPC 1 bw
February, 4th. 2018</t>
  </si>
  <si>
    <t>Bith date
Age Categoty</t>
  </si>
  <si>
    <t>Wght</t>
  </si>
  <si>
    <t>Nr</t>
  </si>
  <si>
    <t>Petruk Aleksandr</t>
  </si>
  <si>
    <t>Open (18.09.1978)/40</t>
  </si>
  <si>
    <t>72,20</t>
  </si>
  <si>
    <t>Vladivostok/Primorskiy kray</t>
  </si>
  <si>
    <t>41,0</t>
  </si>
  <si>
    <t>Mazaev Sergey</t>
  </si>
  <si>
    <t>Open (22.09.1979)/39</t>
  </si>
  <si>
    <t>75,90</t>
  </si>
  <si>
    <t>Tolyatti/Samarskaya oblast</t>
  </si>
  <si>
    <t>38,0</t>
  </si>
  <si>
    <t>Samvelyan Armen</t>
  </si>
  <si>
    <t>Open (01.08.1990)/28</t>
  </si>
  <si>
    <t>81,90</t>
  </si>
  <si>
    <t>32,0</t>
  </si>
  <si>
    <t>Burmistrov Andrey</t>
  </si>
  <si>
    <t>Open (09.02.1989)/29</t>
  </si>
  <si>
    <t>Dzerzhinskiy/Moskovskaya oblast</t>
  </si>
  <si>
    <t>Odnovol Roman</t>
  </si>
  <si>
    <t>Masters 40-44 (21.07.1977)/41</t>
  </si>
  <si>
    <t>82,70</t>
  </si>
  <si>
    <t>Ukraine</t>
  </si>
  <si>
    <t>Pallasovka/Volgogradskaya oblast</t>
  </si>
  <si>
    <t>27,0</t>
  </si>
  <si>
    <t>Tsutskiridze Nodar</t>
  </si>
  <si>
    <t>Masters 40-44 (14.09.1976)/42</t>
  </si>
  <si>
    <t>98,80</t>
  </si>
  <si>
    <t>Rzhev/Tverskaya oblast</t>
  </si>
  <si>
    <t>Body Weight Category  140</t>
  </si>
  <si>
    <t>Filin Mikhail</t>
  </si>
  <si>
    <t>Open (17.11.1961)/57</t>
  </si>
  <si>
    <t>139,50</t>
  </si>
  <si>
    <t>10,0</t>
  </si>
  <si>
    <t>Masters 55-59 (17.11.1961)/57</t>
  </si>
  <si>
    <t>2972,5</t>
  </si>
  <si>
    <t>2106,4621</t>
  </si>
  <si>
    <t>2945,0</t>
  </si>
  <si>
    <t>2009,9625</t>
  </si>
  <si>
    <t>2800,0</t>
  </si>
  <si>
    <t>1753,7800</t>
  </si>
  <si>
    <t>2640,0</t>
  </si>
  <si>
    <t>1709,7960</t>
  </si>
  <si>
    <t>140</t>
  </si>
  <si>
    <t>1400,0</t>
  </si>
  <si>
    <t>744,2330</t>
  </si>
  <si>
    <t>2720,0</t>
  </si>
  <si>
    <t>1750,5920</t>
  </si>
  <si>
    <t>2362,5</t>
  </si>
  <si>
    <t>1723,9109</t>
  </si>
  <si>
    <t>2700,0</t>
  </si>
  <si>
    <t>1593,3860</t>
  </si>
  <si>
    <t>Masters 55-59</t>
  </si>
  <si>
    <t>927,3143</t>
  </si>
  <si>
    <t>Open East Europe Championship WPA/AWPA 2018 AWPC Multy repeat benchpress single body weight
February, 4th. 2018</t>
  </si>
  <si>
    <t>60,00</t>
  </si>
  <si>
    <t>17,0</t>
  </si>
  <si>
    <t>Reva Maksim</t>
  </si>
  <si>
    <t>Open (26.12.1988)/30</t>
  </si>
  <si>
    <t>67,50</t>
  </si>
  <si>
    <t>47,0</t>
  </si>
  <si>
    <t>21,0</t>
  </si>
  <si>
    <t>Balugin Nikolay</t>
  </si>
  <si>
    <t>Open (24.07.1987)/31</t>
  </si>
  <si>
    <t>74,80</t>
  </si>
  <si>
    <t>29,0</t>
  </si>
  <si>
    <t>Fedoseev Sergey</t>
  </si>
  <si>
    <t>Open (18.03.1988)/30</t>
  </si>
  <si>
    <t>74,30</t>
  </si>
  <si>
    <t>25,0</t>
  </si>
  <si>
    <t>Terekhin Yuriy</t>
  </si>
  <si>
    <t>Open (23.05.1975)/43</t>
  </si>
  <si>
    <t>83,70</t>
  </si>
  <si>
    <t>28,0</t>
  </si>
  <si>
    <t>IRONGAME</t>
  </si>
  <si>
    <t>Open (05.08.1968)/50</t>
  </si>
  <si>
    <t>97,5</t>
  </si>
  <si>
    <t>13,0</t>
  </si>
  <si>
    <t>34,0</t>
  </si>
  <si>
    <t>30,0</t>
  </si>
  <si>
    <t>1020,0</t>
  </si>
  <si>
    <t>1007,3520</t>
  </si>
  <si>
    <t>3172,5</t>
  </si>
  <si>
    <t>2374,2989</t>
  </si>
  <si>
    <t>3570,0</t>
  </si>
  <si>
    <t>2045,4315</t>
  </si>
  <si>
    <t>3200,0</t>
  </si>
  <si>
    <t>1864,1600</t>
  </si>
  <si>
    <t>3075,0</t>
  </si>
  <si>
    <t>1776,7349</t>
  </si>
  <si>
    <t>2465,0</t>
  </si>
  <si>
    <t>1574,3955</t>
  </si>
  <si>
    <t>2175,0</t>
  </si>
  <si>
    <t>1500,5325</t>
  </si>
  <si>
    <t>1875,0</t>
  </si>
  <si>
    <t>1300,0313</t>
  </si>
  <si>
    <t>1417,5</t>
  </si>
  <si>
    <t>1062,2036</t>
  </si>
  <si>
    <t>1267,5</t>
  </si>
  <si>
    <t>752,5781</t>
  </si>
  <si>
    <t>2520,0</t>
  </si>
  <si>
    <t>1632,7792</t>
  </si>
  <si>
    <t>837,6195</t>
  </si>
  <si>
    <t>Open East Europe Championship WPA/AWPA 2018 AWPC Multy repeat benchpress half of  body weight
February, 4th. 2018</t>
  </si>
  <si>
    <t>Odnovol Tamara</t>
  </si>
  <si>
    <t>Open (16.09.1981)/37</t>
  </si>
  <si>
    <t>48,70</t>
  </si>
  <si>
    <t>54,0</t>
  </si>
  <si>
    <t>65,70</t>
  </si>
  <si>
    <t>35,0</t>
  </si>
  <si>
    <t>44,0</t>
  </si>
  <si>
    <t>1350,0</t>
  </si>
  <si>
    <t>1573,9650</t>
  </si>
  <si>
    <t>1540,0</t>
  </si>
  <si>
    <t>1179,6400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</si>
</sst>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9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2" fillId="0" borderId="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23" fillId="0" borderId="24" xfId="0" applyNumberFormat="1" applyFont="1" applyBorder="1" applyAlignment="1">
      <alignment/>
    </xf>
    <xf numFmtId="165" fontId="24" fillId="0" borderId="0" xfId="0" applyNumberFormat="1" applyFont="1" applyAlignment="1">
      <alignment horizontal="left"/>
    </xf>
    <xf numFmtId="165" fontId="25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6" fillId="0" borderId="0" xfId="0" applyNumberFormat="1" applyFont="1" applyAlignment="1">
      <alignment horizontal="left" indent="1"/>
    </xf>
    <xf numFmtId="165" fontId="26" fillId="0" borderId="0" xfId="0" applyNumberFormat="1" applyFont="1" applyAlignment="1">
      <alignment/>
    </xf>
    <xf numFmtId="165" fontId="20" fillId="0" borderId="2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indent="1"/>
    </xf>
    <xf numFmtId="165" fontId="27" fillId="0" borderId="0" xfId="0" applyNumberFormat="1" applyFont="1" applyAlignment="1">
      <alignment/>
    </xf>
    <xf numFmtId="165" fontId="27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5" fontId="28" fillId="0" borderId="20" xfId="0" applyNumberFormat="1" applyFont="1" applyFill="1" applyBorder="1" applyAlignment="1">
      <alignment horizontal="center"/>
    </xf>
    <xf numFmtId="165" fontId="27" fillId="0" borderId="22" xfId="0" applyNumberFormat="1" applyFont="1" applyFill="1" applyBorder="1" applyAlignment="1">
      <alignment horizontal="left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left"/>
    </xf>
    <xf numFmtId="165" fontId="23" fillId="0" borderId="22" xfId="0" applyNumberFormat="1" applyFont="1" applyFill="1" applyBorder="1" applyAlignment="1">
      <alignment horizontal="center"/>
    </xf>
    <xf numFmtId="165" fontId="27" fillId="0" borderId="24" xfId="0" applyNumberFormat="1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left"/>
    </xf>
    <xf numFmtId="165" fontId="23" fillId="0" borderId="24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left" indent="1"/>
    </xf>
    <xf numFmtId="165" fontId="26" fillId="0" borderId="0" xfId="0" applyNumberFormat="1" applyFont="1" applyFill="1" applyBorder="1" applyAlignment="1">
      <alignment horizontal="center"/>
    </xf>
    <xf numFmtId="165" fontId="20" fillId="0" borderId="2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left" indent="1"/>
    </xf>
    <xf numFmtId="165" fontId="20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110" zoomScaleNormal="110" workbookViewId="0" topLeftCell="A1">
      <selection activeCell="A34" sqref="A34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4.0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13</v>
      </c>
      <c r="B6" s="16" t="s">
        <v>14</v>
      </c>
      <c r="C6" s="16" t="s">
        <v>15</v>
      </c>
      <c r="D6" s="16">
        <f>"1,0405"</f>
        <v>0</v>
      </c>
      <c r="E6" s="16" t="s">
        <v>16</v>
      </c>
      <c r="F6" s="16" t="s">
        <v>17</v>
      </c>
      <c r="G6" s="16" t="s">
        <v>18</v>
      </c>
      <c r="H6" s="16" t="s">
        <v>19</v>
      </c>
      <c r="I6" s="17" t="s">
        <v>20</v>
      </c>
      <c r="J6" s="17"/>
      <c r="K6" s="16">
        <v>52.5</v>
      </c>
      <c r="L6" s="16">
        <f>"54,6263"</f>
        <v>0</v>
      </c>
      <c r="M6" s="16"/>
    </row>
    <row r="8" spans="1:12" ht="15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>
      <c r="A9" s="16" t="s">
        <v>22</v>
      </c>
      <c r="B9" s="16" t="s">
        <v>23</v>
      </c>
      <c r="C9" s="16" t="s">
        <v>24</v>
      </c>
      <c r="D9" s="16">
        <f>"0,8754"</f>
        <v>0</v>
      </c>
      <c r="E9" s="16" t="s">
        <v>25</v>
      </c>
      <c r="F9" s="16" t="s">
        <v>26</v>
      </c>
      <c r="G9" s="16" t="s">
        <v>27</v>
      </c>
      <c r="H9" s="16" t="s">
        <v>28</v>
      </c>
      <c r="I9" s="16" t="s">
        <v>29</v>
      </c>
      <c r="J9" s="17"/>
      <c r="K9" s="16">
        <v>90</v>
      </c>
      <c r="L9" s="16">
        <f>"78,7868"</f>
        <v>0</v>
      </c>
      <c r="M9" s="16"/>
    </row>
    <row r="11" spans="1:12" ht="15">
      <c r="A11" s="18" t="s">
        <v>30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3" ht="12.75">
      <c r="A12" s="16" t="s">
        <v>31</v>
      </c>
      <c r="B12" s="16" t="s">
        <v>32</v>
      </c>
      <c r="C12" s="16" t="s">
        <v>33</v>
      </c>
      <c r="D12" s="16">
        <f>"0,7867"</f>
        <v>0</v>
      </c>
      <c r="E12" s="16" t="s">
        <v>25</v>
      </c>
      <c r="F12" s="16" t="s">
        <v>34</v>
      </c>
      <c r="G12" s="16" t="s">
        <v>35</v>
      </c>
      <c r="H12" s="16" t="s">
        <v>36</v>
      </c>
      <c r="I12" s="17" t="s">
        <v>37</v>
      </c>
      <c r="J12" s="17"/>
      <c r="K12" s="16">
        <v>135</v>
      </c>
      <c r="L12" s="16">
        <f>"106,2045"</f>
        <v>0</v>
      </c>
      <c r="M12" s="16"/>
    </row>
    <row r="14" spans="1:12" ht="15">
      <c r="A14" s="18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12.75">
      <c r="A15" s="16" t="s">
        <v>38</v>
      </c>
      <c r="B15" s="16" t="s">
        <v>39</v>
      </c>
      <c r="C15" s="16" t="s">
        <v>40</v>
      </c>
      <c r="D15" s="16">
        <f>"0,8257"</f>
        <v>0</v>
      </c>
      <c r="E15" s="16" t="s">
        <v>16</v>
      </c>
      <c r="F15" s="16" t="s">
        <v>17</v>
      </c>
      <c r="G15" s="17" t="s">
        <v>41</v>
      </c>
      <c r="H15" s="16" t="s">
        <v>42</v>
      </c>
      <c r="I15" s="16" t="s">
        <v>29</v>
      </c>
      <c r="J15" s="17"/>
      <c r="K15" s="16">
        <v>90</v>
      </c>
      <c r="L15" s="16">
        <f>"74,3130"</f>
        <v>0</v>
      </c>
      <c r="M15" s="16"/>
    </row>
    <row r="17" spans="1:12" ht="15">
      <c r="A17" s="18" t="s">
        <v>43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3" ht="12.75">
      <c r="A18" s="16" t="s">
        <v>44</v>
      </c>
      <c r="B18" s="16" t="s">
        <v>45</v>
      </c>
      <c r="C18" s="16" t="s">
        <v>46</v>
      </c>
      <c r="D18" s="16">
        <f>"0,6760"</f>
        <v>0</v>
      </c>
      <c r="E18" s="16" t="s">
        <v>25</v>
      </c>
      <c r="F18" s="16" t="s">
        <v>47</v>
      </c>
      <c r="G18" s="16" t="s">
        <v>48</v>
      </c>
      <c r="H18" s="16" t="s">
        <v>49</v>
      </c>
      <c r="I18" s="16" t="s">
        <v>50</v>
      </c>
      <c r="J18" s="17"/>
      <c r="K18" s="16">
        <v>177.5</v>
      </c>
      <c r="L18" s="16">
        <f>"119,9900"</f>
        <v>0</v>
      </c>
      <c r="M18" s="16"/>
    </row>
    <row r="20" spans="1:12" ht="15">
      <c r="A20" s="18" t="s">
        <v>51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2.75">
      <c r="A21" s="16" t="s">
        <v>52</v>
      </c>
      <c r="B21" s="16" t="s">
        <v>53</v>
      </c>
      <c r="C21" s="16" t="s">
        <v>54</v>
      </c>
      <c r="D21" s="16">
        <f>"0,6295"</f>
        <v>0</v>
      </c>
      <c r="E21" s="16" t="s">
        <v>25</v>
      </c>
      <c r="F21" s="16" t="s">
        <v>47</v>
      </c>
      <c r="G21" s="17" t="s">
        <v>55</v>
      </c>
      <c r="H21" s="17" t="s">
        <v>55</v>
      </c>
      <c r="I21" s="17"/>
      <c r="J21" s="17"/>
      <c r="K21" s="16">
        <v>0</v>
      </c>
      <c r="L21" s="16">
        <f>"0,0000"</f>
        <v>0</v>
      </c>
      <c r="M21" s="16"/>
    </row>
    <row r="23" spans="1:12" ht="15">
      <c r="A23" s="18" t="s">
        <v>56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3" ht="12.75">
      <c r="A24" s="16" t="s">
        <v>57</v>
      </c>
      <c r="B24" s="16" t="s">
        <v>58</v>
      </c>
      <c r="C24" s="16" t="s">
        <v>59</v>
      </c>
      <c r="D24" s="16">
        <f>"0,6055"</f>
        <v>0</v>
      </c>
      <c r="E24" s="16" t="s">
        <v>25</v>
      </c>
      <c r="F24" s="16" t="s">
        <v>60</v>
      </c>
      <c r="G24" s="17" t="s">
        <v>61</v>
      </c>
      <c r="H24" s="16" t="s">
        <v>61</v>
      </c>
      <c r="I24" s="16" t="s">
        <v>62</v>
      </c>
      <c r="J24" s="17"/>
      <c r="K24" s="16">
        <v>155</v>
      </c>
      <c r="L24" s="16">
        <f>"93,8525"</f>
        <v>0</v>
      </c>
      <c r="M24" s="16"/>
    </row>
    <row r="26" spans="1:12" ht="15">
      <c r="A26" s="18" t="s">
        <v>63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3" ht="12.75">
      <c r="A27" s="19" t="s">
        <v>64</v>
      </c>
      <c r="B27" s="19" t="s">
        <v>65</v>
      </c>
      <c r="C27" s="19" t="s">
        <v>66</v>
      </c>
      <c r="D27" s="19">
        <f>"0,5751"</f>
        <v>0</v>
      </c>
      <c r="E27" s="19" t="s">
        <v>25</v>
      </c>
      <c r="F27" s="19" t="s">
        <v>67</v>
      </c>
      <c r="G27" s="20" t="s">
        <v>68</v>
      </c>
      <c r="H27" s="19" t="s">
        <v>69</v>
      </c>
      <c r="I27" s="19" t="s">
        <v>70</v>
      </c>
      <c r="J27" s="20"/>
      <c r="K27" s="19">
        <v>210</v>
      </c>
      <c r="L27" s="19">
        <f>"120,7710"</f>
        <v>0</v>
      </c>
      <c r="M27" s="19"/>
    </row>
    <row r="28" spans="1:13" ht="12.75">
      <c r="A28" s="21" t="s">
        <v>71</v>
      </c>
      <c r="B28" s="21" t="s">
        <v>72</v>
      </c>
      <c r="C28" s="21" t="s">
        <v>73</v>
      </c>
      <c r="D28" s="21">
        <f>"0,6050"</f>
        <v>0</v>
      </c>
      <c r="E28" s="21" t="s">
        <v>25</v>
      </c>
      <c r="F28" s="21" t="s">
        <v>47</v>
      </c>
      <c r="G28" s="21" t="s">
        <v>70</v>
      </c>
      <c r="H28" s="21" t="s">
        <v>55</v>
      </c>
      <c r="I28" s="22" t="s">
        <v>74</v>
      </c>
      <c r="J28" s="22"/>
      <c r="K28" s="21">
        <v>215</v>
      </c>
      <c r="L28" s="21">
        <f>"130,0681"</f>
        <v>0</v>
      </c>
      <c r="M28" s="21"/>
    </row>
    <row r="29" spans="1:13" ht="12.75">
      <c r="A29" s="23" t="s">
        <v>75</v>
      </c>
      <c r="B29" s="23" t="s">
        <v>76</v>
      </c>
      <c r="C29" s="23" t="s">
        <v>77</v>
      </c>
      <c r="D29" s="23">
        <f>"0,7035"</f>
        <v>0</v>
      </c>
      <c r="E29" s="23" t="s">
        <v>78</v>
      </c>
      <c r="F29" s="23" t="s">
        <v>79</v>
      </c>
      <c r="G29" s="23" t="s">
        <v>80</v>
      </c>
      <c r="H29" s="23" t="s">
        <v>81</v>
      </c>
      <c r="I29" s="23" t="s">
        <v>55</v>
      </c>
      <c r="J29" s="24"/>
      <c r="K29" s="23">
        <v>215</v>
      </c>
      <c r="L29" s="23">
        <f>"151,2534"</f>
        <v>0</v>
      </c>
      <c r="M29" s="23"/>
    </row>
    <row r="31" spans="1:12" ht="15">
      <c r="A31" s="18" t="s">
        <v>82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2.75">
      <c r="A32" s="16" t="s">
        <v>83</v>
      </c>
      <c r="B32" s="16" t="s">
        <v>84</v>
      </c>
      <c r="C32" s="16" t="s">
        <v>85</v>
      </c>
      <c r="D32" s="16">
        <f>"0,5459"</f>
        <v>0</v>
      </c>
      <c r="E32" s="16" t="s">
        <v>25</v>
      </c>
      <c r="F32" s="16" t="s">
        <v>34</v>
      </c>
      <c r="G32" s="16" t="s">
        <v>86</v>
      </c>
      <c r="H32" s="16" t="s">
        <v>87</v>
      </c>
      <c r="I32" s="16" t="s">
        <v>88</v>
      </c>
      <c r="J32" s="17"/>
      <c r="K32" s="16">
        <v>275</v>
      </c>
      <c r="L32" s="16">
        <f>"150,1225"</f>
        <v>0</v>
      </c>
      <c r="M32" s="16"/>
    </row>
    <row r="34" spans="1:12" ht="15">
      <c r="A34" s="18" t="s">
        <v>89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2.75">
      <c r="A35" s="19" t="s">
        <v>90</v>
      </c>
      <c r="B35" s="19" t="s">
        <v>91</v>
      </c>
      <c r="C35" s="19" t="s">
        <v>92</v>
      </c>
      <c r="D35" s="19">
        <f>"0,5296"</f>
        <v>0</v>
      </c>
      <c r="E35" s="19" t="s">
        <v>25</v>
      </c>
      <c r="F35" s="19" t="s">
        <v>93</v>
      </c>
      <c r="G35" s="19" t="s">
        <v>55</v>
      </c>
      <c r="H35" s="19" t="s">
        <v>94</v>
      </c>
      <c r="I35" s="19" t="s">
        <v>95</v>
      </c>
      <c r="J35" s="20"/>
      <c r="K35" s="19">
        <v>235</v>
      </c>
      <c r="L35" s="19">
        <f>"124,4560"</f>
        <v>0</v>
      </c>
      <c r="M35" s="19"/>
    </row>
    <row r="36" spans="1:13" ht="12.75">
      <c r="A36" s="23" t="s">
        <v>96</v>
      </c>
      <c r="B36" s="23" t="s">
        <v>97</v>
      </c>
      <c r="C36" s="23" t="s">
        <v>98</v>
      </c>
      <c r="D36" s="23">
        <f>"0,5314"</f>
        <v>0</v>
      </c>
      <c r="E36" s="23" t="s">
        <v>25</v>
      </c>
      <c r="F36" s="23" t="s">
        <v>26</v>
      </c>
      <c r="G36" s="23" t="s">
        <v>70</v>
      </c>
      <c r="H36" s="23" t="s">
        <v>94</v>
      </c>
      <c r="I36" s="23" t="s">
        <v>95</v>
      </c>
      <c r="J36" s="24"/>
      <c r="K36" s="23">
        <v>235</v>
      </c>
      <c r="L36" s="23">
        <f>"124,8781"</f>
        <v>0</v>
      </c>
      <c r="M36" s="23"/>
    </row>
    <row r="38" ht="15">
      <c r="E38" s="25" t="s">
        <v>99</v>
      </c>
    </row>
    <row r="39" ht="15">
      <c r="E39" s="25" t="s">
        <v>100</v>
      </c>
    </row>
    <row r="40" ht="15">
      <c r="E40" s="25" t="s">
        <v>101</v>
      </c>
    </row>
    <row r="41" ht="12.75">
      <c r="E41" s="1" t="s">
        <v>102</v>
      </c>
    </row>
    <row r="42" ht="12.75">
      <c r="E42" s="1" t="s">
        <v>103</v>
      </c>
    </row>
    <row r="43" ht="12.75">
      <c r="E43" s="1" t="s">
        <v>104</v>
      </c>
    </row>
    <row r="46" spans="1:2" ht="17.25">
      <c r="A46" s="26" t="s">
        <v>105</v>
      </c>
      <c r="B46" s="26"/>
    </row>
    <row r="47" spans="1:2" ht="15">
      <c r="A47" s="27" t="s">
        <v>106</v>
      </c>
      <c r="B47" s="27"/>
    </row>
    <row r="48" spans="1:2" ht="14.25">
      <c r="A48" s="28" t="s">
        <v>107</v>
      </c>
      <c r="B48" s="29"/>
    </row>
    <row r="49" spans="1:5" ht="13.5">
      <c r="A49" s="30" t="s">
        <v>1</v>
      </c>
      <c r="B49" s="30" t="s">
        <v>108</v>
      </c>
      <c r="C49" s="30" t="s">
        <v>109</v>
      </c>
      <c r="D49" s="30" t="s">
        <v>8</v>
      </c>
      <c r="E49" s="30" t="s">
        <v>110</v>
      </c>
    </row>
    <row r="50" spans="1:5" ht="12.75">
      <c r="A50" s="31" t="s">
        <v>13</v>
      </c>
      <c r="B50" s="1" t="s">
        <v>111</v>
      </c>
      <c r="C50" s="1" t="s">
        <v>112</v>
      </c>
      <c r="D50" s="1" t="s">
        <v>19</v>
      </c>
      <c r="E50" s="32" t="s">
        <v>113</v>
      </c>
    </row>
    <row r="52" spans="1:2" ht="14.25">
      <c r="A52" s="28" t="s">
        <v>114</v>
      </c>
      <c r="B52" s="29"/>
    </row>
    <row r="53" spans="1:5" ht="13.5">
      <c r="A53" s="30" t="s">
        <v>1</v>
      </c>
      <c r="B53" s="30" t="s">
        <v>108</v>
      </c>
      <c r="C53" s="30" t="s">
        <v>109</v>
      </c>
      <c r="D53" s="30" t="s">
        <v>8</v>
      </c>
      <c r="E53" s="30" t="s">
        <v>110</v>
      </c>
    </row>
    <row r="54" spans="1:5" ht="12.75">
      <c r="A54" s="31" t="s">
        <v>31</v>
      </c>
      <c r="B54" s="1" t="s">
        <v>115</v>
      </c>
      <c r="C54" s="1" t="s">
        <v>116</v>
      </c>
      <c r="D54" s="1" t="s">
        <v>36</v>
      </c>
      <c r="E54" s="32" t="s">
        <v>117</v>
      </c>
    </row>
    <row r="56" spans="1:2" ht="14.25">
      <c r="A56" s="28" t="s">
        <v>118</v>
      </c>
      <c r="B56" s="29"/>
    </row>
    <row r="57" spans="1:5" ht="13.5">
      <c r="A57" s="30" t="s">
        <v>1</v>
      </c>
      <c r="B57" s="30" t="s">
        <v>108</v>
      </c>
      <c r="C57" s="30" t="s">
        <v>109</v>
      </c>
      <c r="D57" s="30" t="s">
        <v>8</v>
      </c>
      <c r="E57" s="30" t="s">
        <v>110</v>
      </c>
    </row>
    <row r="58" spans="1:5" ht="12.75">
      <c r="A58" s="31" t="s">
        <v>22</v>
      </c>
      <c r="B58" s="1" t="s">
        <v>119</v>
      </c>
      <c r="C58" s="1" t="s">
        <v>120</v>
      </c>
      <c r="D58" s="1" t="s">
        <v>29</v>
      </c>
      <c r="E58" s="32" t="s">
        <v>121</v>
      </c>
    </row>
    <row r="61" spans="1:2" ht="15">
      <c r="A61" s="27" t="s">
        <v>122</v>
      </c>
      <c r="B61" s="27"/>
    </row>
    <row r="62" spans="1:2" ht="14.25">
      <c r="A62" s="28" t="s">
        <v>107</v>
      </c>
      <c r="B62" s="29"/>
    </row>
    <row r="63" spans="1:5" ht="13.5">
      <c r="A63" s="30" t="s">
        <v>1</v>
      </c>
      <c r="B63" s="30" t="s">
        <v>108</v>
      </c>
      <c r="C63" s="30" t="s">
        <v>109</v>
      </c>
      <c r="D63" s="30" t="s">
        <v>8</v>
      </c>
      <c r="E63" s="30" t="s">
        <v>110</v>
      </c>
    </row>
    <row r="64" spans="1:5" ht="12.75">
      <c r="A64" s="31" t="s">
        <v>38</v>
      </c>
      <c r="B64" s="1" t="s">
        <v>123</v>
      </c>
      <c r="C64" s="1" t="s">
        <v>120</v>
      </c>
      <c r="D64" s="1" t="s">
        <v>29</v>
      </c>
      <c r="E64" s="32" t="s">
        <v>124</v>
      </c>
    </row>
    <row r="66" spans="1:2" ht="14.25">
      <c r="A66" s="28" t="s">
        <v>114</v>
      </c>
      <c r="B66" s="29"/>
    </row>
    <row r="67" spans="1:5" ht="13.5">
      <c r="A67" s="30" t="s">
        <v>1</v>
      </c>
      <c r="B67" s="30" t="s">
        <v>108</v>
      </c>
      <c r="C67" s="30" t="s">
        <v>109</v>
      </c>
      <c r="D67" s="30" t="s">
        <v>8</v>
      </c>
      <c r="E67" s="30" t="s">
        <v>110</v>
      </c>
    </row>
    <row r="68" spans="1:5" ht="12.75">
      <c r="A68" s="31" t="s">
        <v>44</v>
      </c>
      <c r="B68" s="1" t="s">
        <v>115</v>
      </c>
      <c r="C68" s="1" t="s">
        <v>125</v>
      </c>
      <c r="D68" s="1" t="s">
        <v>50</v>
      </c>
      <c r="E68" s="32" t="s">
        <v>126</v>
      </c>
    </row>
    <row r="70" spans="1:2" ht="14.25">
      <c r="A70" s="28" t="s">
        <v>127</v>
      </c>
      <c r="B70" s="29"/>
    </row>
    <row r="71" spans="1:5" ht="13.5">
      <c r="A71" s="30" t="s">
        <v>1</v>
      </c>
      <c r="B71" s="30" t="s">
        <v>108</v>
      </c>
      <c r="C71" s="30" t="s">
        <v>109</v>
      </c>
      <c r="D71" s="30" t="s">
        <v>8</v>
      </c>
      <c r="E71" s="30" t="s">
        <v>110</v>
      </c>
    </row>
    <row r="72" spans="1:5" ht="12.75">
      <c r="A72" s="31" t="s">
        <v>83</v>
      </c>
      <c r="B72" s="1" t="s">
        <v>127</v>
      </c>
      <c r="C72" s="1" t="s">
        <v>128</v>
      </c>
      <c r="D72" s="1" t="s">
        <v>88</v>
      </c>
      <c r="E72" s="32" t="s">
        <v>129</v>
      </c>
    </row>
    <row r="73" spans="1:5" ht="12.75">
      <c r="A73" s="31" t="s">
        <v>90</v>
      </c>
      <c r="B73" s="1" t="s">
        <v>127</v>
      </c>
      <c r="C73" s="1" t="s">
        <v>130</v>
      </c>
      <c r="D73" s="1" t="s">
        <v>95</v>
      </c>
      <c r="E73" s="32" t="s">
        <v>131</v>
      </c>
    </row>
    <row r="74" spans="1:5" ht="12.75">
      <c r="A74" s="31" t="s">
        <v>64</v>
      </c>
      <c r="B74" s="1" t="s">
        <v>127</v>
      </c>
      <c r="C74" s="1" t="s">
        <v>132</v>
      </c>
      <c r="D74" s="1" t="s">
        <v>70</v>
      </c>
      <c r="E74" s="32" t="s">
        <v>133</v>
      </c>
    </row>
    <row r="75" spans="1:5" ht="12.75">
      <c r="A75" s="31" t="s">
        <v>57</v>
      </c>
      <c r="B75" s="1" t="s">
        <v>127</v>
      </c>
      <c r="C75" s="1" t="s">
        <v>134</v>
      </c>
      <c r="D75" s="1" t="s">
        <v>62</v>
      </c>
      <c r="E75" s="32" t="s">
        <v>135</v>
      </c>
    </row>
    <row r="77" spans="1:2" ht="14.25">
      <c r="A77" s="28" t="s">
        <v>118</v>
      </c>
      <c r="B77" s="29"/>
    </row>
    <row r="78" spans="1:5" ht="13.5">
      <c r="A78" s="30" t="s">
        <v>1</v>
      </c>
      <c r="B78" s="30" t="s">
        <v>108</v>
      </c>
      <c r="C78" s="30" t="s">
        <v>109</v>
      </c>
      <c r="D78" s="30" t="s">
        <v>8</v>
      </c>
      <c r="E78" s="30" t="s">
        <v>110</v>
      </c>
    </row>
    <row r="79" spans="1:5" ht="12.75">
      <c r="A79" s="31" t="s">
        <v>75</v>
      </c>
      <c r="B79" s="1" t="s">
        <v>136</v>
      </c>
      <c r="C79" s="1" t="s">
        <v>132</v>
      </c>
      <c r="D79" s="1" t="s">
        <v>55</v>
      </c>
      <c r="E79" s="32" t="s">
        <v>137</v>
      </c>
    </row>
    <row r="80" spans="1:5" ht="12.75">
      <c r="A80" s="31" t="s">
        <v>71</v>
      </c>
      <c r="B80" s="1" t="s">
        <v>138</v>
      </c>
      <c r="C80" s="1" t="s">
        <v>132</v>
      </c>
      <c r="D80" s="1" t="s">
        <v>55</v>
      </c>
      <c r="E80" s="32" t="s">
        <v>139</v>
      </c>
    </row>
    <row r="81" spans="1:5" ht="12.75">
      <c r="A81" s="31" t="s">
        <v>96</v>
      </c>
      <c r="B81" s="1" t="s">
        <v>119</v>
      </c>
      <c r="C81" s="1" t="s">
        <v>130</v>
      </c>
      <c r="D81" s="1" t="s">
        <v>95</v>
      </c>
      <c r="E81" s="32" t="s">
        <v>140</v>
      </c>
    </row>
  </sheetData>
  <sheetProtection selectLockedCells="1" selectUnlockedCells="1"/>
  <mergeCells count="21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7:L17"/>
    <mergeCell ref="A20:L20"/>
    <mergeCell ref="A23:L23"/>
    <mergeCell ref="A26:L26"/>
    <mergeCell ref="A31:L31"/>
    <mergeCell ref="A34:L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="110" zoomScaleNormal="110" workbookViewId="0" topLeftCell="A1">
      <selection activeCell="H9" sqref="H9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1.503906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375" style="1" customWidth="1"/>
    <col min="12" max="12" width="9.50390625" style="1" customWidth="1"/>
    <col min="13" max="13" width="7.125" style="1" customWidth="1"/>
  </cols>
  <sheetData>
    <row r="1" spans="1:13" s="3" customFormat="1" ht="15" customHeight="1">
      <c r="A1" s="2" t="s">
        <v>502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8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447</v>
      </c>
      <c r="C3" s="5" t="s">
        <v>3</v>
      </c>
      <c r="D3" s="6" t="s">
        <v>4</v>
      </c>
      <c r="E3" s="6" t="s">
        <v>5</v>
      </c>
      <c r="F3" s="7" t="s">
        <v>6</v>
      </c>
      <c r="G3" s="59" t="s">
        <v>149</v>
      </c>
      <c r="H3" s="59"/>
      <c r="I3" s="59"/>
      <c r="J3" s="59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448</v>
      </c>
      <c r="H4" s="13" t="s">
        <v>449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167</v>
      </c>
      <c r="B6" s="16" t="s">
        <v>168</v>
      </c>
      <c r="C6" s="16" t="s">
        <v>503</v>
      </c>
      <c r="D6" s="16">
        <f>"0,9876"</f>
        <v>0</v>
      </c>
      <c r="E6" s="16" t="s">
        <v>25</v>
      </c>
      <c r="F6" s="16" t="s">
        <v>47</v>
      </c>
      <c r="G6" s="16" t="s">
        <v>164</v>
      </c>
      <c r="H6" s="16" t="s">
        <v>504</v>
      </c>
      <c r="I6" s="17"/>
      <c r="J6" s="17"/>
      <c r="K6" s="16">
        <v>1020</v>
      </c>
      <c r="L6" s="16">
        <f>"1007,3520"</f>
        <v>0</v>
      </c>
      <c r="M6" s="16"/>
    </row>
    <row r="8" spans="1:12" ht="15">
      <c r="A8" s="18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>
      <c r="A9" s="19" t="s">
        <v>505</v>
      </c>
      <c r="B9" s="19" t="s">
        <v>506</v>
      </c>
      <c r="C9" s="19" t="s">
        <v>507</v>
      </c>
      <c r="D9" s="19">
        <f>"0,7484"</f>
        <v>0</v>
      </c>
      <c r="E9" s="19" t="s">
        <v>25</v>
      </c>
      <c r="F9" s="19" t="s">
        <v>470</v>
      </c>
      <c r="G9" s="19" t="s">
        <v>159</v>
      </c>
      <c r="H9" s="19" t="s">
        <v>508</v>
      </c>
      <c r="I9" s="20"/>
      <c r="J9" s="20"/>
      <c r="K9" s="19">
        <v>3172.5</v>
      </c>
      <c r="L9" s="19">
        <f>"2374,2989"</f>
        <v>0</v>
      </c>
      <c r="M9" s="19"/>
    </row>
    <row r="10" spans="1:13" ht="12.75">
      <c r="A10" s="23" t="s">
        <v>193</v>
      </c>
      <c r="B10" s="23" t="s">
        <v>194</v>
      </c>
      <c r="C10" s="23" t="s">
        <v>195</v>
      </c>
      <c r="D10" s="23">
        <f>"0,7494"</f>
        <v>0</v>
      </c>
      <c r="E10" s="23" t="s">
        <v>25</v>
      </c>
      <c r="F10" s="23" t="s">
        <v>196</v>
      </c>
      <c r="G10" s="23" t="s">
        <v>159</v>
      </c>
      <c r="H10" s="23" t="s">
        <v>509</v>
      </c>
      <c r="I10" s="24"/>
      <c r="J10" s="24"/>
      <c r="K10" s="23">
        <v>1417.5</v>
      </c>
      <c r="L10" s="23">
        <f>"1062,2036"</f>
        <v>0</v>
      </c>
      <c r="M10" s="23"/>
    </row>
    <row r="12" spans="1:12" ht="15">
      <c r="A12" s="18" t="s">
        <v>43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3" ht="12.75">
      <c r="A13" s="19" t="s">
        <v>510</v>
      </c>
      <c r="B13" s="19" t="s">
        <v>511</v>
      </c>
      <c r="C13" s="19" t="s">
        <v>512</v>
      </c>
      <c r="D13" s="19">
        <f>"0,6899"</f>
        <v>0</v>
      </c>
      <c r="E13" s="19" t="s">
        <v>25</v>
      </c>
      <c r="F13" s="19" t="s">
        <v>47</v>
      </c>
      <c r="G13" s="19" t="s">
        <v>398</v>
      </c>
      <c r="H13" s="19" t="s">
        <v>513</v>
      </c>
      <c r="I13" s="20"/>
      <c r="J13" s="20"/>
      <c r="K13" s="19">
        <v>2175</v>
      </c>
      <c r="L13" s="19">
        <f>"1500,5325"</f>
        <v>0</v>
      </c>
      <c r="M13" s="19"/>
    </row>
    <row r="14" spans="1:13" ht="12.75">
      <c r="A14" s="23" t="s">
        <v>514</v>
      </c>
      <c r="B14" s="23" t="s">
        <v>515</v>
      </c>
      <c r="C14" s="23" t="s">
        <v>516</v>
      </c>
      <c r="D14" s="23">
        <f>"0,6934"</f>
        <v>0</v>
      </c>
      <c r="E14" s="23" t="s">
        <v>25</v>
      </c>
      <c r="F14" s="23" t="s">
        <v>263</v>
      </c>
      <c r="G14" s="23" t="s">
        <v>398</v>
      </c>
      <c r="H14" s="23" t="s">
        <v>517</v>
      </c>
      <c r="I14" s="24"/>
      <c r="J14" s="24"/>
      <c r="K14" s="23">
        <v>1875</v>
      </c>
      <c r="L14" s="23">
        <f>"1300,0313"</f>
        <v>0</v>
      </c>
      <c r="M14" s="23"/>
    </row>
    <row r="16" spans="1:12" ht="15">
      <c r="A16" s="18" t="s">
        <v>56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2.75">
      <c r="A17" s="19" t="s">
        <v>518</v>
      </c>
      <c r="B17" s="19" t="s">
        <v>519</v>
      </c>
      <c r="C17" s="19" t="s">
        <v>520</v>
      </c>
      <c r="D17" s="19">
        <f>"0,6387"</f>
        <v>0</v>
      </c>
      <c r="E17" s="19" t="s">
        <v>25</v>
      </c>
      <c r="F17" s="19" t="s">
        <v>47</v>
      </c>
      <c r="G17" s="19" t="s">
        <v>41</v>
      </c>
      <c r="H17" s="19" t="s">
        <v>513</v>
      </c>
      <c r="I17" s="20"/>
      <c r="J17" s="20"/>
      <c r="K17" s="19">
        <v>2465</v>
      </c>
      <c r="L17" s="19">
        <f>"1574,3955"</f>
        <v>0</v>
      </c>
      <c r="M17" s="19"/>
    </row>
    <row r="18" spans="1:13" ht="12.75">
      <c r="A18" s="23" t="s">
        <v>241</v>
      </c>
      <c r="B18" s="23" t="s">
        <v>242</v>
      </c>
      <c r="C18" s="23" t="s">
        <v>243</v>
      </c>
      <c r="D18" s="23">
        <f>"0,6479"</f>
        <v>0</v>
      </c>
      <c r="E18" s="23" t="s">
        <v>25</v>
      </c>
      <c r="F18" s="23" t="s">
        <v>244</v>
      </c>
      <c r="G18" s="23" t="s">
        <v>29</v>
      </c>
      <c r="H18" s="23" t="s">
        <v>521</v>
      </c>
      <c r="I18" s="24"/>
      <c r="J18" s="24"/>
      <c r="K18" s="23">
        <v>2520</v>
      </c>
      <c r="L18" s="23">
        <f>"1632,7792"</f>
        <v>0</v>
      </c>
      <c r="M18" s="23"/>
    </row>
    <row r="20" spans="1:12" ht="15">
      <c r="A20" s="18" t="s">
        <v>63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2.75">
      <c r="A21" s="19" t="s">
        <v>259</v>
      </c>
      <c r="B21" s="19" t="s">
        <v>260</v>
      </c>
      <c r="C21" s="19" t="s">
        <v>261</v>
      </c>
      <c r="D21" s="19">
        <f>"0,5825"</f>
        <v>0</v>
      </c>
      <c r="E21" s="19" t="s">
        <v>522</v>
      </c>
      <c r="F21" s="19" t="s">
        <v>263</v>
      </c>
      <c r="G21" s="19" t="s">
        <v>339</v>
      </c>
      <c r="H21" s="19" t="s">
        <v>463</v>
      </c>
      <c r="I21" s="20"/>
      <c r="J21" s="20"/>
      <c r="K21" s="19">
        <v>3200</v>
      </c>
      <c r="L21" s="19">
        <f>"1864,1600"</f>
        <v>0</v>
      </c>
      <c r="M21" s="19"/>
    </row>
    <row r="22" spans="1:13" ht="12.75">
      <c r="A22" s="21" t="s">
        <v>412</v>
      </c>
      <c r="B22" s="21" t="s">
        <v>523</v>
      </c>
      <c r="C22" s="21" t="s">
        <v>414</v>
      </c>
      <c r="D22" s="21">
        <f>"0,5938"</f>
        <v>0</v>
      </c>
      <c r="E22" s="21" t="s">
        <v>25</v>
      </c>
      <c r="F22" s="21" t="s">
        <v>163</v>
      </c>
      <c r="G22" s="21" t="s">
        <v>524</v>
      </c>
      <c r="H22" s="21" t="s">
        <v>525</v>
      </c>
      <c r="I22" s="22"/>
      <c r="J22" s="22"/>
      <c r="K22" s="21">
        <v>1267.5</v>
      </c>
      <c r="L22" s="21">
        <f>"752,5781"</f>
        <v>0</v>
      </c>
      <c r="M22" s="21"/>
    </row>
    <row r="23" spans="1:13" ht="12.75">
      <c r="A23" s="23" t="s">
        <v>412</v>
      </c>
      <c r="B23" s="23" t="s">
        <v>413</v>
      </c>
      <c r="C23" s="23" t="s">
        <v>414</v>
      </c>
      <c r="D23" s="23">
        <f>"0,6608"</f>
        <v>0</v>
      </c>
      <c r="E23" s="23" t="s">
        <v>25</v>
      </c>
      <c r="F23" s="23" t="s">
        <v>163</v>
      </c>
      <c r="G23" s="23" t="s">
        <v>524</v>
      </c>
      <c r="H23" s="23" t="s">
        <v>525</v>
      </c>
      <c r="I23" s="24"/>
      <c r="J23" s="24"/>
      <c r="K23" s="23">
        <v>1267.5</v>
      </c>
      <c r="L23" s="23">
        <f>"837,6194"</f>
        <v>0</v>
      </c>
      <c r="M23" s="23"/>
    </row>
    <row r="25" spans="1:12" ht="15">
      <c r="A25" s="18" t="s">
        <v>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3" ht="12.75">
      <c r="A26" s="19" t="s">
        <v>83</v>
      </c>
      <c r="B26" s="19" t="s">
        <v>84</v>
      </c>
      <c r="C26" s="19" t="s">
        <v>85</v>
      </c>
      <c r="D26" s="19">
        <f>"0,5730"</f>
        <v>0</v>
      </c>
      <c r="E26" s="19" t="s">
        <v>25</v>
      </c>
      <c r="F26" s="19" t="s">
        <v>34</v>
      </c>
      <c r="G26" s="19" t="s">
        <v>335</v>
      </c>
      <c r="H26" s="19" t="s">
        <v>526</v>
      </c>
      <c r="I26" s="20"/>
      <c r="J26" s="20"/>
      <c r="K26" s="19">
        <v>3570</v>
      </c>
      <c r="L26" s="19">
        <f>"2045,4315"</f>
        <v>0</v>
      </c>
      <c r="M26" s="19"/>
    </row>
    <row r="27" spans="1:13" ht="12.75">
      <c r="A27" s="23" t="s">
        <v>278</v>
      </c>
      <c r="B27" s="23" t="s">
        <v>279</v>
      </c>
      <c r="C27" s="23" t="s">
        <v>280</v>
      </c>
      <c r="D27" s="23">
        <f>"0,5778"</f>
        <v>0</v>
      </c>
      <c r="E27" s="23" t="s">
        <v>522</v>
      </c>
      <c r="F27" s="23" t="s">
        <v>263</v>
      </c>
      <c r="G27" s="23" t="s">
        <v>197</v>
      </c>
      <c r="H27" s="23" t="s">
        <v>527</v>
      </c>
      <c r="I27" s="24"/>
      <c r="J27" s="24"/>
      <c r="K27" s="23">
        <v>3075</v>
      </c>
      <c r="L27" s="23">
        <f>"1776,7349"</f>
        <v>0</v>
      </c>
      <c r="M27" s="23"/>
    </row>
    <row r="29" ht="15">
      <c r="E29" s="25" t="s">
        <v>99</v>
      </c>
    </row>
    <row r="30" ht="15">
      <c r="E30" s="25" t="s">
        <v>100</v>
      </c>
    </row>
    <row r="31" ht="15">
      <c r="E31" s="25" t="s">
        <v>101</v>
      </c>
    </row>
    <row r="32" ht="12.75">
      <c r="E32" s="1" t="s">
        <v>102</v>
      </c>
    </row>
    <row r="33" ht="12.75">
      <c r="E33" s="1" t="s">
        <v>103</v>
      </c>
    </row>
    <row r="34" ht="12.75">
      <c r="E34" s="1" t="s">
        <v>104</v>
      </c>
    </row>
    <row r="37" spans="1:2" ht="17.25">
      <c r="A37" s="26" t="s">
        <v>105</v>
      </c>
      <c r="B37" s="26"/>
    </row>
    <row r="38" spans="1:2" ht="15">
      <c r="A38" s="27" t="s">
        <v>106</v>
      </c>
      <c r="B38" s="27"/>
    </row>
    <row r="39" spans="1:2" ht="14.25">
      <c r="A39" s="28" t="s">
        <v>127</v>
      </c>
      <c r="B39" s="29"/>
    </row>
    <row r="40" spans="1:5" ht="13.5">
      <c r="A40" s="30" t="s">
        <v>1</v>
      </c>
      <c r="B40" s="30" t="s">
        <v>108</v>
      </c>
      <c r="C40" s="30" t="s">
        <v>109</v>
      </c>
      <c r="D40" s="30" t="s">
        <v>8</v>
      </c>
      <c r="E40" s="30" t="s">
        <v>110</v>
      </c>
    </row>
    <row r="41" spans="1:5" ht="12.75">
      <c r="A41" s="31" t="s">
        <v>167</v>
      </c>
      <c r="B41" s="1" t="s">
        <v>127</v>
      </c>
      <c r="C41" s="1" t="s">
        <v>120</v>
      </c>
      <c r="D41" s="1" t="s">
        <v>528</v>
      </c>
      <c r="E41" s="32" t="s">
        <v>529</v>
      </c>
    </row>
    <row r="44" spans="1:2" ht="15">
      <c r="A44" s="27" t="s">
        <v>122</v>
      </c>
      <c r="B44" s="27"/>
    </row>
    <row r="45" spans="1:2" ht="14.25">
      <c r="A45" s="28" t="s">
        <v>127</v>
      </c>
      <c r="B45" s="29"/>
    </row>
    <row r="46" spans="1:5" ht="13.5">
      <c r="A46" s="30" t="s">
        <v>1</v>
      </c>
      <c r="B46" s="30" t="s">
        <v>108</v>
      </c>
      <c r="C46" s="30" t="s">
        <v>109</v>
      </c>
      <c r="D46" s="30" t="s">
        <v>8</v>
      </c>
      <c r="E46" s="30" t="s">
        <v>110</v>
      </c>
    </row>
    <row r="47" spans="1:5" ht="12.75">
      <c r="A47" s="31" t="s">
        <v>505</v>
      </c>
      <c r="B47" s="1" t="s">
        <v>127</v>
      </c>
      <c r="C47" s="1" t="s">
        <v>116</v>
      </c>
      <c r="D47" s="1" t="s">
        <v>530</v>
      </c>
      <c r="E47" s="32" t="s">
        <v>531</v>
      </c>
    </row>
    <row r="48" spans="1:5" ht="12.75">
      <c r="A48" s="31" t="s">
        <v>83</v>
      </c>
      <c r="B48" s="1" t="s">
        <v>127</v>
      </c>
      <c r="C48" s="1" t="s">
        <v>128</v>
      </c>
      <c r="D48" s="1" t="s">
        <v>532</v>
      </c>
      <c r="E48" s="32" t="s">
        <v>533</v>
      </c>
    </row>
    <row r="49" spans="1:5" ht="12.75">
      <c r="A49" s="31" t="s">
        <v>259</v>
      </c>
      <c r="B49" s="1" t="s">
        <v>127</v>
      </c>
      <c r="C49" s="1" t="s">
        <v>132</v>
      </c>
      <c r="D49" s="1" t="s">
        <v>534</v>
      </c>
      <c r="E49" s="32" t="s">
        <v>535</v>
      </c>
    </row>
    <row r="50" spans="1:5" ht="12.75">
      <c r="A50" s="31" t="s">
        <v>278</v>
      </c>
      <c r="B50" s="1" t="s">
        <v>127</v>
      </c>
      <c r="C50" s="1" t="s">
        <v>128</v>
      </c>
      <c r="D50" s="1" t="s">
        <v>536</v>
      </c>
      <c r="E50" s="32" t="s">
        <v>537</v>
      </c>
    </row>
    <row r="51" spans="1:5" ht="12.75">
      <c r="A51" s="31" t="s">
        <v>518</v>
      </c>
      <c r="B51" s="1" t="s">
        <v>127</v>
      </c>
      <c r="C51" s="1" t="s">
        <v>134</v>
      </c>
      <c r="D51" s="1" t="s">
        <v>538</v>
      </c>
      <c r="E51" s="32" t="s">
        <v>539</v>
      </c>
    </row>
    <row r="52" spans="1:5" ht="12.75">
      <c r="A52" s="31" t="s">
        <v>510</v>
      </c>
      <c r="B52" s="1" t="s">
        <v>127</v>
      </c>
      <c r="C52" s="1" t="s">
        <v>125</v>
      </c>
      <c r="D52" s="1" t="s">
        <v>540</v>
      </c>
      <c r="E52" s="32" t="s">
        <v>541</v>
      </c>
    </row>
    <row r="53" spans="1:5" ht="12.75">
      <c r="A53" s="31" t="s">
        <v>514</v>
      </c>
      <c r="B53" s="1" t="s">
        <v>127</v>
      </c>
      <c r="C53" s="1" t="s">
        <v>125</v>
      </c>
      <c r="D53" s="1" t="s">
        <v>542</v>
      </c>
      <c r="E53" s="32" t="s">
        <v>543</v>
      </c>
    </row>
    <row r="54" spans="1:5" ht="12.75">
      <c r="A54" s="31" t="s">
        <v>193</v>
      </c>
      <c r="B54" s="1" t="s">
        <v>127</v>
      </c>
      <c r="C54" s="1" t="s">
        <v>116</v>
      </c>
      <c r="D54" s="1" t="s">
        <v>544</v>
      </c>
      <c r="E54" s="32" t="s">
        <v>545</v>
      </c>
    </row>
    <row r="55" spans="1:5" ht="12.75">
      <c r="A55" s="31" t="s">
        <v>412</v>
      </c>
      <c r="B55" s="1" t="s">
        <v>127</v>
      </c>
      <c r="C55" s="1" t="s">
        <v>132</v>
      </c>
      <c r="D55" s="1" t="s">
        <v>546</v>
      </c>
      <c r="E55" s="32" t="s">
        <v>547</v>
      </c>
    </row>
    <row r="57" spans="1:2" ht="14.25">
      <c r="A57" s="28" t="s">
        <v>118</v>
      </c>
      <c r="B57" s="29"/>
    </row>
    <row r="58" spans="1:5" ht="13.5">
      <c r="A58" s="30" t="s">
        <v>1</v>
      </c>
      <c r="B58" s="30" t="s">
        <v>108</v>
      </c>
      <c r="C58" s="30" t="s">
        <v>109</v>
      </c>
      <c r="D58" s="30" t="s">
        <v>8</v>
      </c>
      <c r="E58" s="30" t="s">
        <v>110</v>
      </c>
    </row>
    <row r="59" spans="1:5" ht="12.75">
      <c r="A59" s="31" t="s">
        <v>241</v>
      </c>
      <c r="B59" s="1" t="s">
        <v>138</v>
      </c>
      <c r="C59" s="1" t="s">
        <v>134</v>
      </c>
      <c r="D59" s="1" t="s">
        <v>548</v>
      </c>
      <c r="E59" s="32" t="s">
        <v>549</v>
      </c>
    </row>
    <row r="60" spans="1:5" ht="12.75">
      <c r="A60" s="31" t="s">
        <v>412</v>
      </c>
      <c r="B60" s="1" t="s">
        <v>138</v>
      </c>
      <c r="C60" s="1" t="s">
        <v>132</v>
      </c>
      <c r="D60" s="1" t="s">
        <v>546</v>
      </c>
      <c r="E60" s="32" t="s">
        <v>550</v>
      </c>
    </row>
  </sheetData>
  <sheetProtection selectLockedCells="1" selectUnlockedCells="1"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6:L16"/>
    <mergeCell ref="A20:L20"/>
    <mergeCell ref="A25:L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="110" zoomScaleNormal="110" workbookViewId="0" topLeftCell="A1">
      <selection activeCell="A5" sqref="A5"/>
    </sheetView>
  </sheetViews>
  <sheetFormatPr defaultColWidth="9.00390625" defaultRowHeight="12.75"/>
  <cols>
    <col min="1" max="1" width="28.50390625" style="33" customWidth="1"/>
    <col min="2" max="2" width="24.125" style="34" customWidth="1"/>
    <col min="3" max="3" width="6.875" style="34" customWidth="1"/>
    <col min="4" max="4" width="6.50390625" style="34" customWidth="1"/>
    <col min="5" max="5" width="17.00390625" style="35" customWidth="1"/>
    <col min="6" max="6" width="19.375" style="35" customWidth="1"/>
    <col min="7" max="7" width="4.50390625" style="34" customWidth="1"/>
    <col min="8" max="8" width="7.375" style="34" customWidth="1"/>
    <col min="9" max="9" width="2.125" style="34" customWidth="1"/>
    <col min="10" max="10" width="4.50390625" style="34" customWidth="1"/>
    <col min="11" max="11" width="6.375" style="33" customWidth="1"/>
    <col min="12" max="12" width="9.50390625" style="34" customWidth="1"/>
    <col min="13" max="13" width="7.125" style="35" customWidth="1"/>
    <col min="14" max="16384" width="9.125" style="3" customWidth="1"/>
  </cols>
  <sheetData>
    <row r="1" spans="1:13" ht="15" customHeight="1">
      <c r="A1" s="2" t="s">
        <v>551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447</v>
      </c>
      <c r="C3" s="5" t="s">
        <v>3</v>
      </c>
      <c r="D3" s="6" t="s">
        <v>4</v>
      </c>
      <c r="E3" s="6" t="s">
        <v>5</v>
      </c>
      <c r="F3" s="7" t="s">
        <v>6</v>
      </c>
      <c r="G3" s="59" t="s">
        <v>149</v>
      </c>
      <c r="H3" s="59"/>
      <c r="I3" s="59"/>
      <c r="J3" s="59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448</v>
      </c>
      <c r="H4" s="13" t="s">
        <v>449</v>
      </c>
      <c r="I4" s="13">
        <v>3</v>
      </c>
      <c r="J4" s="14" t="s">
        <v>11</v>
      </c>
      <c r="K4" s="6"/>
      <c r="L4" s="6"/>
      <c r="M4" s="10"/>
    </row>
    <row r="5" spans="1:13" s="34" customFormat="1" ht="15">
      <c r="A5" s="36" t="s">
        <v>150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</row>
    <row r="6" spans="1:13" s="34" customFormat="1" ht="12.75">
      <c r="A6" s="46" t="s">
        <v>552</v>
      </c>
      <c r="B6" s="47" t="s">
        <v>553</v>
      </c>
      <c r="C6" s="47" t="s">
        <v>554</v>
      </c>
      <c r="D6" s="47">
        <f>"1,1659"</f>
        <v>0</v>
      </c>
      <c r="E6" s="48" t="s">
        <v>25</v>
      </c>
      <c r="F6" s="48" t="s">
        <v>470</v>
      </c>
      <c r="G6" s="47" t="s">
        <v>517</v>
      </c>
      <c r="H6" s="47" t="s">
        <v>555</v>
      </c>
      <c r="I6" s="49"/>
      <c r="J6" s="49"/>
      <c r="K6" s="46">
        <v>1350</v>
      </c>
      <c r="L6" s="47">
        <f>"1573,9650"</f>
        <v>0</v>
      </c>
      <c r="M6" s="48"/>
    </row>
    <row r="7" spans="1:13" s="34" customFormat="1" ht="12.75">
      <c r="A7" s="33"/>
      <c r="E7" s="35"/>
      <c r="F7" s="35"/>
      <c r="K7" s="33"/>
      <c r="M7" s="35"/>
    </row>
    <row r="8" spans="1:12" ht="15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46" t="s">
        <v>181</v>
      </c>
      <c r="B9" s="47" t="s">
        <v>182</v>
      </c>
      <c r="C9" s="47" t="s">
        <v>556</v>
      </c>
      <c r="D9" s="47">
        <f>"0,7660"</f>
        <v>0</v>
      </c>
      <c r="E9" s="48" t="s">
        <v>25</v>
      </c>
      <c r="F9" s="48" t="s">
        <v>184</v>
      </c>
      <c r="G9" s="47" t="s">
        <v>557</v>
      </c>
      <c r="H9" s="47" t="s">
        <v>558</v>
      </c>
      <c r="I9" s="49"/>
      <c r="J9" s="49"/>
      <c r="K9" s="46">
        <v>1540</v>
      </c>
      <c r="L9" s="47">
        <f>"1179,6400"</f>
        <v>0</v>
      </c>
      <c r="M9" s="48"/>
    </row>
    <row r="11" ht="15">
      <c r="E11" s="50" t="s">
        <v>99</v>
      </c>
    </row>
    <row r="12" ht="15">
      <c r="E12" s="50" t="s">
        <v>100</v>
      </c>
    </row>
    <row r="13" ht="15">
      <c r="E13" s="50" t="s">
        <v>101</v>
      </c>
    </row>
    <row r="14" ht="12.75">
      <c r="E14" s="35" t="s">
        <v>102</v>
      </c>
    </row>
    <row r="15" ht="12.75">
      <c r="E15" s="35" t="s">
        <v>103</v>
      </c>
    </row>
    <row r="16" ht="12.75">
      <c r="E16" s="35" t="s">
        <v>104</v>
      </c>
    </row>
    <row r="19" spans="1:2" ht="17.25">
      <c r="A19" s="51" t="s">
        <v>105</v>
      </c>
      <c r="B19" s="52"/>
    </row>
    <row r="20" spans="1:2" ht="15">
      <c r="A20" s="53" t="s">
        <v>106</v>
      </c>
      <c r="B20" s="54"/>
    </row>
    <row r="21" spans="1:2" ht="14.25">
      <c r="A21" s="55" t="s">
        <v>127</v>
      </c>
      <c r="B21" s="56"/>
    </row>
    <row r="22" spans="1:5" ht="13.5">
      <c r="A22" s="57" t="s">
        <v>1</v>
      </c>
      <c r="B22" s="57" t="s">
        <v>108</v>
      </c>
      <c r="C22" s="57" t="s">
        <v>109</v>
      </c>
      <c r="D22" s="57" t="s">
        <v>8</v>
      </c>
      <c r="E22" s="57" t="s">
        <v>110</v>
      </c>
    </row>
    <row r="23" spans="1:5" ht="12.75">
      <c r="A23" s="58" t="s">
        <v>552</v>
      </c>
      <c r="B23" s="34" t="s">
        <v>127</v>
      </c>
      <c r="C23" s="34" t="s">
        <v>293</v>
      </c>
      <c r="D23" s="34" t="s">
        <v>559</v>
      </c>
      <c r="E23" s="33" t="s">
        <v>560</v>
      </c>
    </row>
    <row r="26" spans="1:2" ht="15">
      <c r="A26" s="53" t="s">
        <v>122</v>
      </c>
      <c r="B26" s="54"/>
    </row>
    <row r="27" spans="1:2" ht="14.25">
      <c r="A27" s="55" t="s">
        <v>107</v>
      </c>
      <c r="B27" s="56"/>
    </row>
    <row r="28" spans="1:5" ht="13.5">
      <c r="A28" s="57" t="s">
        <v>1</v>
      </c>
      <c r="B28" s="57" t="s">
        <v>108</v>
      </c>
      <c r="C28" s="57" t="s">
        <v>109</v>
      </c>
      <c r="D28" s="57" t="s">
        <v>8</v>
      </c>
      <c r="E28" s="57" t="s">
        <v>110</v>
      </c>
    </row>
    <row r="29" spans="1:5" ht="12.75">
      <c r="A29" s="58" t="s">
        <v>181</v>
      </c>
      <c r="B29" s="34" t="s">
        <v>123</v>
      </c>
      <c r="C29" s="34" t="s">
        <v>116</v>
      </c>
      <c r="D29" s="34" t="s">
        <v>561</v>
      </c>
      <c r="E29" s="33" t="s">
        <v>562</v>
      </c>
    </row>
  </sheetData>
  <sheetProtection selectLockedCells="1" selectUnlockedCells="1"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25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4.1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142</v>
      </c>
      <c r="B6" s="16" t="s">
        <v>143</v>
      </c>
      <c r="C6" s="16" t="s">
        <v>144</v>
      </c>
      <c r="D6" s="16">
        <f>"0,7596"</f>
        <v>0</v>
      </c>
      <c r="E6" s="16" t="s">
        <v>25</v>
      </c>
      <c r="F6" s="16" t="s">
        <v>145</v>
      </c>
      <c r="G6" s="16" t="s">
        <v>48</v>
      </c>
      <c r="H6" s="16" t="s">
        <v>49</v>
      </c>
      <c r="I6" s="17" t="s">
        <v>146</v>
      </c>
      <c r="J6" s="17"/>
      <c r="K6" s="16">
        <v>170</v>
      </c>
      <c r="L6" s="16">
        <f>"129,1320"</f>
        <v>0</v>
      </c>
      <c r="M6" s="16"/>
    </row>
    <row r="8" ht="15">
      <c r="E8" s="25" t="s">
        <v>99</v>
      </c>
    </row>
    <row r="9" ht="15">
      <c r="E9" s="25" t="s">
        <v>100</v>
      </c>
    </row>
    <row r="10" ht="15">
      <c r="E10" s="25" t="s">
        <v>101</v>
      </c>
    </row>
    <row r="11" ht="12.75">
      <c r="E11" s="1" t="s">
        <v>102</v>
      </c>
    </row>
    <row r="12" ht="12.75">
      <c r="E12" s="1" t="s">
        <v>103</v>
      </c>
    </row>
    <row r="13" ht="12.75">
      <c r="E13" s="1" t="s">
        <v>104</v>
      </c>
    </row>
    <row r="16" spans="1:2" ht="17.25">
      <c r="A16" s="26" t="s">
        <v>105</v>
      </c>
      <c r="B16" s="26"/>
    </row>
    <row r="17" spans="1:2" ht="15">
      <c r="A17" s="27" t="s">
        <v>106</v>
      </c>
      <c r="B17" s="27"/>
    </row>
    <row r="18" spans="1:2" ht="14.25">
      <c r="A18" s="28" t="s">
        <v>114</v>
      </c>
      <c r="B18" s="29"/>
    </row>
    <row r="19" spans="1:5" ht="13.5">
      <c r="A19" s="30" t="s">
        <v>1</v>
      </c>
      <c r="B19" s="30" t="s">
        <v>108</v>
      </c>
      <c r="C19" s="30" t="s">
        <v>109</v>
      </c>
      <c r="D19" s="30" t="s">
        <v>8</v>
      </c>
      <c r="E19" s="30" t="s">
        <v>110</v>
      </c>
    </row>
    <row r="20" spans="1:5" ht="12.75">
      <c r="A20" s="31" t="s">
        <v>142</v>
      </c>
      <c r="B20" s="1" t="s">
        <v>115</v>
      </c>
      <c r="C20" s="1" t="s">
        <v>125</v>
      </c>
      <c r="D20" s="1" t="s">
        <v>49</v>
      </c>
      <c r="E20" s="32" t="s">
        <v>147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4.0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14.50390625" style="1" customWidth="1"/>
  </cols>
  <sheetData>
    <row r="1" spans="1:13" s="3" customFormat="1" ht="15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149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151</v>
      </c>
      <c r="B6" s="16" t="s">
        <v>152</v>
      </c>
      <c r="C6" s="16" t="s">
        <v>153</v>
      </c>
      <c r="D6" s="16">
        <f>"0,9809"</f>
        <v>0</v>
      </c>
      <c r="E6" s="16" t="s">
        <v>25</v>
      </c>
      <c r="F6" s="16" t="s">
        <v>47</v>
      </c>
      <c r="G6" s="16" t="s">
        <v>154</v>
      </c>
      <c r="H6" s="17" t="s">
        <v>20</v>
      </c>
      <c r="I6" s="17" t="s">
        <v>20</v>
      </c>
      <c r="J6" s="17"/>
      <c r="K6" s="16">
        <v>50</v>
      </c>
      <c r="L6" s="16">
        <f>"49,0450"</f>
        <v>0</v>
      </c>
      <c r="M6" s="16"/>
    </row>
    <row r="8" spans="1:12" ht="15">
      <c r="A8" s="18" t="s">
        <v>155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>
      <c r="A9" s="19" t="s">
        <v>156</v>
      </c>
      <c r="B9" s="19" t="s">
        <v>157</v>
      </c>
      <c r="C9" s="19" t="s">
        <v>158</v>
      </c>
      <c r="D9" s="19">
        <f>"0,9086"</f>
        <v>0</v>
      </c>
      <c r="E9" s="19" t="s">
        <v>25</v>
      </c>
      <c r="F9" s="19" t="s">
        <v>47</v>
      </c>
      <c r="G9" s="19" t="s">
        <v>159</v>
      </c>
      <c r="H9" s="20" t="s">
        <v>27</v>
      </c>
      <c r="I9" s="20" t="s">
        <v>27</v>
      </c>
      <c r="J9" s="20"/>
      <c r="K9" s="19">
        <v>67.5</v>
      </c>
      <c r="L9" s="19">
        <f>"61,3305"</f>
        <v>0</v>
      </c>
      <c r="M9" s="19"/>
    </row>
    <row r="10" spans="1:13" ht="12.75">
      <c r="A10" s="23" t="s">
        <v>160</v>
      </c>
      <c r="B10" s="23" t="s">
        <v>161</v>
      </c>
      <c r="C10" s="23" t="s">
        <v>162</v>
      </c>
      <c r="D10" s="23">
        <f>"0,9263"</f>
        <v>0</v>
      </c>
      <c r="E10" s="23" t="s">
        <v>25</v>
      </c>
      <c r="F10" s="23" t="s">
        <v>163</v>
      </c>
      <c r="G10" s="23" t="s">
        <v>164</v>
      </c>
      <c r="H10" s="23" t="s">
        <v>165</v>
      </c>
      <c r="I10" s="23" t="s">
        <v>166</v>
      </c>
      <c r="J10" s="24"/>
      <c r="K10" s="23">
        <v>65</v>
      </c>
      <c r="L10" s="23">
        <f>"60,2095"</f>
        <v>0</v>
      </c>
      <c r="M10" s="23"/>
    </row>
    <row r="12" spans="1:12" ht="15">
      <c r="A12" s="18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3" ht="12.75">
      <c r="A13" s="19" t="s">
        <v>167</v>
      </c>
      <c r="B13" s="19" t="s">
        <v>168</v>
      </c>
      <c r="C13" s="19" t="s">
        <v>169</v>
      </c>
      <c r="D13" s="19">
        <f>"0,8568"</f>
        <v>0</v>
      </c>
      <c r="E13" s="19" t="s">
        <v>25</v>
      </c>
      <c r="F13" s="19" t="s">
        <v>47</v>
      </c>
      <c r="G13" s="19" t="s">
        <v>170</v>
      </c>
      <c r="H13" s="19" t="s">
        <v>171</v>
      </c>
      <c r="I13" s="20" t="s">
        <v>28</v>
      </c>
      <c r="J13" s="20"/>
      <c r="K13" s="19">
        <v>77.5</v>
      </c>
      <c r="L13" s="19">
        <f>"66,4020"</f>
        <v>0</v>
      </c>
      <c r="M13" s="19"/>
    </row>
    <row r="14" spans="1:13" ht="12.75">
      <c r="A14" s="23" t="s">
        <v>22</v>
      </c>
      <c r="B14" s="23" t="s">
        <v>23</v>
      </c>
      <c r="C14" s="23" t="s">
        <v>24</v>
      </c>
      <c r="D14" s="23">
        <f>"0,8754"</f>
        <v>0</v>
      </c>
      <c r="E14" s="23" t="s">
        <v>25</v>
      </c>
      <c r="F14" s="23" t="s">
        <v>26</v>
      </c>
      <c r="G14" s="23" t="s">
        <v>19</v>
      </c>
      <c r="H14" s="24" t="s">
        <v>172</v>
      </c>
      <c r="I14" s="23" t="s">
        <v>172</v>
      </c>
      <c r="J14" s="24"/>
      <c r="K14" s="23">
        <v>57.5</v>
      </c>
      <c r="L14" s="23">
        <f>"50,3360"</f>
        <v>0</v>
      </c>
      <c r="M14" s="23"/>
    </row>
    <row r="16" spans="1:12" ht="15">
      <c r="A16" s="18" t="s">
        <v>56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3" ht="12.75">
      <c r="A17" s="16" t="s">
        <v>173</v>
      </c>
      <c r="B17" s="16" t="s">
        <v>174</v>
      </c>
      <c r="C17" s="16" t="s">
        <v>175</v>
      </c>
      <c r="D17" s="16">
        <f>"0,6317"</f>
        <v>0</v>
      </c>
      <c r="E17" s="16" t="s">
        <v>25</v>
      </c>
      <c r="F17" s="16" t="s">
        <v>47</v>
      </c>
      <c r="G17" s="16" t="s">
        <v>20</v>
      </c>
      <c r="H17" s="16" t="s">
        <v>166</v>
      </c>
      <c r="I17" s="17" t="s">
        <v>27</v>
      </c>
      <c r="J17" s="17"/>
      <c r="K17" s="16">
        <v>65</v>
      </c>
      <c r="L17" s="16">
        <f>"41,0605"</f>
        <v>0</v>
      </c>
      <c r="M17" s="16"/>
    </row>
    <row r="19" spans="1:12" ht="15">
      <c r="A19" s="18" t="s">
        <v>155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3" ht="12.75">
      <c r="A20" s="16" t="s">
        <v>176</v>
      </c>
      <c r="B20" s="16" t="s">
        <v>177</v>
      </c>
      <c r="C20" s="16" t="s">
        <v>178</v>
      </c>
      <c r="D20" s="16">
        <f>"0,8906"</f>
        <v>0</v>
      </c>
      <c r="E20" s="16" t="s">
        <v>25</v>
      </c>
      <c r="F20" s="16" t="s">
        <v>47</v>
      </c>
      <c r="G20" s="16" t="s">
        <v>29</v>
      </c>
      <c r="H20" s="16" t="s">
        <v>179</v>
      </c>
      <c r="I20" s="16" t="s">
        <v>180</v>
      </c>
      <c r="J20" s="17"/>
      <c r="K20" s="16">
        <v>95</v>
      </c>
      <c r="L20" s="16">
        <f>"84,6070"</f>
        <v>0</v>
      </c>
      <c r="M20" s="16"/>
    </row>
    <row r="22" spans="1:12" ht="15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75">
      <c r="A23" s="19" t="s">
        <v>181</v>
      </c>
      <c r="B23" s="19" t="s">
        <v>182</v>
      </c>
      <c r="C23" s="19" t="s">
        <v>183</v>
      </c>
      <c r="D23" s="19">
        <f>"0,7471"</f>
        <v>0</v>
      </c>
      <c r="E23" s="19" t="s">
        <v>25</v>
      </c>
      <c r="F23" s="19" t="s">
        <v>184</v>
      </c>
      <c r="G23" s="19" t="s">
        <v>27</v>
      </c>
      <c r="H23" s="19" t="s">
        <v>171</v>
      </c>
      <c r="I23" s="19" t="s">
        <v>28</v>
      </c>
      <c r="J23" s="20"/>
      <c r="K23" s="19">
        <v>80</v>
      </c>
      <c r="L23" s="19">
        <f>"59,7680"</f>
        <v>0</v>
      </c>
      <c r="M23" s="19" t="s">
        <v>185</v>
      </c>
    </row>
    <row r="24" spans="1:13" ht="12.75">
      <c r="A24" s="21" t="s">
        <v>186</v>
      </c>
      <c r="B24" s="21" t="s">
        <v>187</v>
      </c>
      <c r="C24" s="21" t="s">
        <v>188</v>
      </c>
      <c r="D24" s="21">
        <f>"0,7647"</f>
        <v>0</v>
      </c>
      <c r="E24" s="21" t="s">
        <v>25</v>
      </c>
      <c r="F24" s="21" t="s">
        <v>189</v>
      </c>
      <c r="G24" s="21" t="s">
        <v>190</v>
      </c>
      <c r="H24" s="21" t="s">
        <v>191</v>
      </c>
      <c r="I24" s="21" t="s">
        <v>192</v>
      </c>
      <c r="J24" s="22"/>
      <c r="K24" s="21">
        <v>125</v>
      </c>
      <c r="L24" s="21">
        <f>"95,5875"</f>
        <v>0</v>
      </c>
      <c r="M24" s="21"/>
    </row>
    <row r="25" spans="1:13" ht="12.75">
      <c r="A25" s="21" t="s">
        <v>193</v>
      </c>
      <c r="B25" s="21" t="s">
        <v>194</v>
      </c>
      <c r="C25" s="21" t="s">
        <v>195</v>
      </c>
      <c r="D25" s="21">
        <f>"0,7268"</f>
        <v>0</v>
      </c>
      <c r="E25" s="21" t="s">
        <v>25</v>
      </c>
      <c r="F25" s="21" t="s">
        <v>196</v>
      </c>
      <c r="G25" s="21" t="s">
        <v>197</v>
      </c>
      <c r="H25" s="21" t="s">
        <v>190</v>
      </c>
      <c r="I25" s="21" t="s">
        <v>198</v>
      </c>
      <c r="J25" s="22"/>
      <c r="K25" s="21">
        <v>110</v>
      </c>
      <c r="L25" s="21">
        <f>"79,9480"</f>
        <v>0</v>
      </c>
      <c r="M25" s="21"/>
    </row>
    <row r="26" spans="1:13" ht="12.75">
      <c r="A26" s="23" t="s">
        <v>181</v>
      </c>
      <c r="B26" s="23" t="s">
        <v>199</v>
      </c>
      <c r="C26" s="23" t="s">
        <v>183</v>
      </c>
      <c r="D26" s="23">
        <f>"0,7471"</f>
        <v>0</v>
      </c>
      <c r="E26" s="23" t="s">
        <v>25</v>
      </c>
      <c r="F26" s="23" t="s">
        <v>184</v>
      </c>
      <c r="G26" s="23" t="s">
        <v>27</v>
      </c>
      <c r="H26" s="23" t="s">
        <v>171</v>
      </c>
      <c r="I26" s="23" t="s">
        <v>28</v>
      </c>
      <c r="J26" s="24"/>
      <c r="K26" s="23">
        <v>80</v>
      </c>
      <c r="L26" s="23">
        <f>"59,7680"</f>
        <v>0</v>
      </c>
      <c r="M26" s="23" t="s">
        <v>185</v>
      </c>
    </row>
    <row r="28" spans="1:12" ht="15">
      <c r="A28" s="18" t="s">
        <v>43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3" ht="12.75">
      <c r="A29" s="19" t="s">
        <v>200</v>
      </c>
      <c r="B29" s="19" t="s">
        <v>201</v>
      </c>
      <c r="C29" s="19" t="s">
        <v>202</v>
      </c>
      <c r="D29" s="19">
        <f>"0,6745"</f>
        <v>0</v>
      </c>
      <c r="E29" s="19" t="s">
        <v>25</v>
      </c>
      <c r="F29" s="19" t="s">
        <v>47</v>
      </c>
      <c r="G29" s="19" t="s">
        <v>192</v>
      </c>
      <c r="H29" s="20" t="s">
        <v>203</v>
      </c>
      <c r="I29" s="19" t="s">
        <v>203</v>
      </c>
      <c r="J29" s="20"/>
      <c r="K29" s="19">
        <v>130</v>
      </c>
      <c r="L29" s="19">
        <f>"87,6850"</f>
        <v>0</v>
      </c>
      <c r="M29" s="19"/>
    </row>
    <row r="30" spans="1:13" ht="12.75">
      <c r="A30" s="21" t="s">
        <v>204</v>
      </c>
      <c r="B30" s="21" t="s">
        <v>205</v>
      </c>
      <c r="C30" s="21" t="s">
        <v>206</v>
      </c>
      <c r="D30" s="21">
        <f>"0,6723"</f>
        <v>0</v>
      </c>
      <c r="E30" s="21" t="s">
        <v>25</v>
      </c>
      <c r="F30" s="21" t="s">
        <v>207</v>
      </c>
      <c r="G30" s="21" t="s">
        <v>203</v>
      </c>
      <c r="H30" s="22" t="s">
        <v>36</v>
      </c>
      <c r="I30" s="22" t="s">
        <v>36</v>
      </c>
      <c r="J30" s="22"/>
      <c r="K30" s="21">
        <v>130</v>
      </c>
      <c r="L30" s="21">
        <f>"87,3990"</f>
        <v>0</v>
      </c>
      <c r="M30" s="21"/>
    </row>
    <row r="31" spans="1:13" ht="12.75">
      <c r="A31" s="23" t="s">
        <v>208</v>
      </c>
      <c r="B31" s="23" t="s">
        <v>209</v>
      </c>
      <c r="C31" s="23" t="s">
        <v>210</v>
      </c>
      <c r="D31" s="23">
        <f>"0,6767"</f>
        <v>0</v>
      </c>
      <c r="E31" s="23" t="s">
        <v>25</v>
      </c>
      <c r="F31" s="23" t="s">
        <v>211</v>
      </c>
      <c r="G31" s="24" t="s">
        <v>35</v>
      </c>
      <c r="H31" s="24" t="s">
        <v>192</v>
      </c>
      <c r="I31" s="24" t="s">
        <v>192</v>
      </c>
      <c r="J31" s="24"/>
      <c r="K31" s="23">
        <v>0</v>
      </c>
      <c r="L31" s="23">
        <f>"0,0000"</f>
        <v>0</v>
      </c>
      <c r="M31" s="23"/>
    </row>
    <row r="33" spans="1:12" ht="15">
      <c r="A33" s="18" t="s">
        <v>51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2.75">
      <c r="A34" s="19" t="s">
        <v>212</v>
      </c>
      <c r="B34" s="19" t="s">
        <v>213</v>
      </c>
      <c r="C34" s="19" t="s">
        <v>214</v>
      </c>
      <c r="D34" s="19">
        <f>"0,6230"</f>
        <v>0</v>
      </c>
      <c r="E34" s="19" t="s">
        <v>25</v>
      </c>
      <c r="F34" s="19" t="s">
        <v>215</v>
      </c>
      <c r="G34" s="20" t="s">
        <v>216</v>
      </c>
      <c r="H34" s="19" t="s">
        <v>48</v>
      </c>
      <c r="I34" s="20" t="s">
        <v>217</v>
      </c>
      <c r="J34" s="20"/>
      <c r="K34" s="19">
        <v>160</v>
      </c>
      <c r="L34" s="19">
        <f>"99,6800"</f>
        <v>0</v>
      </c>
      <c r="M34" s="19"/>
    </row>
    <row r="35" spans="1:13" ht="12.75">
      <c r="A35" s="23" t="s">
        <v>218</v>
      </c>
      <c r="B35" s="23" t="s">
        <v>219</v>
      </c>
      <c r="C35" s="23" t="s">
        <v>220</v>
      </c>
      <c r="D35" s="23">
        <f>"0,6324"</f>
        <v>0</v>
      </c>
      <c r="E35" s="23" t="s">
        <v>25</v>
      </c>
      <c r="F35" s="23" t="s">
        <v>47</v>
      </c>
      <c r="G35" s="23" t="s">
        <v>35</v>
      </c>
      <c r="H35" s="23" t="s">
        <v>221</v>
      </c>
      <c r="I35" s="23" t="s">
        <v>222</v>
      </c>
      <c r="J35" s="24"/>
      <c r="K35" s="23">
        <v>132.5</v>
      </c>
      <c r="L35" s="23">
        <f>"83,7930"</f>
        <v>0</v>
      </c>
      <c r="M35" s="23"/>
    </row>
    <row r="37" spans="1:12" ht="15">
      <c r="A37" s="18" t="s">
        <v>56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3" ht="12.75">
      <c r="A38" s="19" t="s">
        <v>223</v>
      </c>
      <c r="B38" s="19" t="s">
        <v>224</v>
      </c>
      <c r="C38" s="19" t="s">
        <v>225</v>
      </c>
      <c r="D38" s="19">
        <f>"0,5956"</f>
        <v>0</v>
      </c>
      <c r="E38" s="19" t="s">
        <v>25</v>
      </c>
      <c r="F38" s="19" t="s">
        <v>47</v>
      </c>
      <c r="G38" s="19" t="s">
        <v>61</v>
      </c>
      <c r="H38" s="19" t="s">
        <v>226</v>
      </c>
      <c r="I38" s="19" t="s">
        <v>227</v>
      </c>
      <c r="J38" s="20"/>
      <c r="K38" s="19">
        <v>150</v>
      </c>
      <c r="L38" s="19">
        <f>"89,3400"</f>
        <v>0</v>
      </c>
      <c r="M38" s="19"/>
    </row>
    <row r="39" spans="1:13" ht="12.75">
      <c r="A39" s="21" t="s">
        <v>228</v>
      </c>
      <c r="B39" s="21" t="s">
        <v>229</v>
      </c>
      <c r="C39" s="21" t="s">
        <v>230</v>
      </c>
      <c r="D39" s="21">
        <f>"0,6041"</f>
        <v>0</v>
      </c>
      <c r="E39" s="21" t="s">
        <v>25</v>
      </c>
      <c r="F39" s="21" t="s">
        <v>231</v>
      </c>
      <c r="G39" s="22" t="s">
        <v>232</v>
      </c>
      <c r="H39" s="22" t="s">
        <v>232</v>
      </c>
      <c r="I39" s="22" t="s">
        <v>233</v>
      </c>
      <c r="J39" s="22"/>
      <c r="K39" s="21">
        <v>0</v>
      </c>
      <c r="L39" s="21">
        <f>"0,0000"</f>
        <v>0</v>
      </c>
      <c r="M39" s="21"/>
    </row>
    <row r="40" spans="1:13" ht="12.75">
      <c r="A40" s="21" t="s">
        <v>234</v>
      </c>
      <c r="B40" s="21" t="s">
        <v>235</v>
      </c>
      <c r="C40" s="21" t="s">
        <v>236</v>
      </c>
      <c r="D40" s="21">
        <f>"0,6167"</f>
        <v>0</v>
      </c>
      <c r="E40" s="21" t="s">
        <v>25</v>
      </c>
      <c r="F40" s="21" t="s">
        <v>237</v>
      </c>
      <c r="G40" s="22" t="s">
        <v>35</v>
      </c>
      <c r="H40" s="21" t="s">
        <v>192</v>
      </c>
      <c r="I40" s="21" t="s">
        <v>192</v>
      </c>
      <c r="J40" s="22"/>
      <c r="K40" s="21">
        <v>125</v>
      </c>
      <c r="L40" s="21">
        <f>"77,0875"</f>
        <v>0</v>
      </c>
      <c r="M40" s="21"/>
    </row>
    <row r="41" spans="1:13" ht="12.75">
      <c r="A41" s="21" t="s">
        <v>238</v>
      </c>
      <c r="B41" s="21" t="s">
        <v>239</v>
      </c>
      <c r="C41" s="21" t="s">
        <v>240</v>
      </c>
      <c r="D41" s="21">
        <f>"0,5942"</f>
        <v>0</v>
      </c>
      <c r="E41" s="21" t="s">
        <v>25</v>
      </c>
      <c r="F41" s="21" t="s">
        <v>231</v>
      </c>
      <c r="G41" s="22" t="s">
        <v>61</v>
      </c>
      <c r="H41" s="22" t="s">
        <v>233</v>
      </c>
      <c r="I41" s="21" t="s">
        <v>233</v>
      </c>
      <c r="J41" s="22"/>
      <c r="K41" s="21">
        <v>152.5</v>
      </c>
      <c r="L41" s="21">
        <f>"90,6155"</f>
        <v>0</v>
      </c>
      <c r="M41" s="21"/>
    </row>
    <row r="42" spans="1:13" ht="12.75">
      <c r="A42" s="21" t="s">
        <v>241</v>
      </c>
      <c r="B42" s="21" t="s">
        <v>242</v>
      </c>
      <c r="C42" s="21" t="s">
        <v>243</v>
      </c>
      <c r="D42" s="21">
        <f>"0,6159"</f>
        <v>0</v>
      </c>
      <c r="E42" s="21" t="s">
        <v>25</v>
      </c>
      <c r="F42" s="21" t="s">
        <v>244</v>
      </c>
      <c r="G42" s="21" t="s">
        <v>48</v>
      </c>
      <c r="H42" s="21" t="s">
        <v>245</v>
      </c>
      <c r="I42" s="22" t="s">
        <v>146</v>
      </c>
      <c r="J42" s="22"/>
      <c r="K42" s="21">
        <v>165</v>
      </c>
      <c r="L42" s="21">
        <f>"101,6251"</f>
        <v>0</v>
      </c>
      <c r="M42" s="21"/>
    </row>
    <row r="43" spans="1:13" ht="12.75">
      <c r="A43" s="23" t="s">
        <v>246</v>
      </c>
      <c r="B43" s="23" t="s">
        <v>247</v>
      </c>
      <c r="C43" s="23" t="s">
        <v>248</v>
      </c>
      <c r="D43" s="23">
        <f>"0,6601"</f>
        <v>0</v>
      </c>
      <c r="E43" s="23" t="s">
        <v>25</v>
      </c>
      <c r="F43" s="23" t="s">
        <v>249</v>
      </c>
      <c r="G43" s="23" t="s">
        <v>61</v>
      </c>
      <c r="H43" s="24" t="s">
        <v>232</v>
      </c>
      <c r="I43" s="24" t="s">
        <v>233</v>
      </c>
      <c r="J43" s="24"/>
      <c r="K43" s="23">
        <v>140</v>
      </c>
      <c r="L43" s="23">
        <f>"92,4206"</f>
        <v>0</v>
      </c>
      <c r="M43" s="23"/>
    </row>
    <row r="45" spans="1:12" ht="15">
      <c r="A45" s="18" t="s">
        <v>63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3" ht="12.75">
      <c r="A46" s="19" t="s">
        <v>250</v>
      </c>
      <c r="B46" s="19" t="s">
        <v>251</v>
      </c>
      <c r="C46" s="19" t="s">
        <v>252</v>
      </c>
      <c r="D46" s="19">
        <f>"0,5639"</f>
        <v>0</v>
      </c>
      <c r="E46" s="19" t="s">
        <v>25</v>
      </c>
      <c r="F46" s="19" t="s">
        <v>47</v>
      </c>
      <c r="G46" s="19" t="s">
        <v>37</v>
      </c>
      <c r="H46" s="19" t="s">
        <v>232</v>
      </c>
      <c r="I46" s="19" t="s">
        <v>227</v>
      </c>
      <c r="J46" s="20"/>
      <c r="K46" s="19">
        <v>150</v>
      </c>
      <c r="L46" s="19">
        <f>"84,5850"</f>
        <v>0</v>
      </c>
      <c r="M46" s="19"/>
    </row>
    <row r="47" spans="1:13" ht="12.75">
      <c r="A47" s="21" t="s">
        <v>253</v>
      </c>
      <c r="B47" s="21" t="s">
        <v>254</v>
      </c>
      <c r="C47" s="21" t="s">
        <v>255</v>
      </c>
      <c r="D47" s="21">
        <f>"0,5660"</f>
        <v>0</v>
      </c>
      <c r="E47" s="21" t="s">
        <v>25</v>
      </c>
      <c r="F47" s="21" t="s">
        <v>256</v>
      </c>
      <c r="G47" s="21" t="s">
        <v>245</v>
      </c>
      <c r="H47" s="21" t="s">
        <v>257</v>
      </c>
      <c r="I47" s="22" t="s">
        <v>258</v>
      </c>
      <c r="J47" s="22"/>
      <c r="K47" s="21">
        <v>185</v>
      </c>
      <c r="L47" s="21">
        <f>"104,7100"</f>
        <v>0</v>
      </c>
      <c r="M47" s="21"/>
    </row>
    <row r="48" spans="1:13" ht="12.75">
      <c r="A48" s="21" t="s">
        <v>259</v>
      </c>
      <c r="B48" s="21" t="s">
        <v>260</v>
      </c>
      <c r="C48" s="21" t="s">
        <v>261</v>
      </c>
      <c r="D48" s="21">
        <f>"0,5553"</f>
        <v>0</v>
      </c>
      <c r="E48" s="21" t="s">
        <v>262</v>
      </c>
      <c r="F48" s="21" t="s">
        <v>263</v>
      </c>
      <c r="G48" s="21" t="s">
        <v>49</v>
      </c>
      <c r="H48" s="21" t="s">
        <v>68</v>
      </c>
      <c r="I48" s="22" t="s">
        <v>264</v>
      </c>
      <c r="J48" s="22"/>
      <c r="K48" s="21">
        <v>180</v>
      </c>
      <c r="L48" s="21">
        <f>"99,9540"</f>
        <v>0</v>
      </c>
      <c r="M48" s="21"/>
    </row>
    <row r="49" spans="1:13" ht="12.75">
      <c r="A49" s="21" t="s">
        <v>265</v>
      </c>
      <c r="B49" s="21" t="s">
        <v>266</v>
      </c>
      <c r="C49" s="21" t="s">
        <v>267</v>
      </c>
      <c r="D49" s="21">
        <f>"0,5599"</f>
        <v>0</v>
      </c>
      <c r="E49" s="21" t="s">
        <v>25</v>
      </c>
      <c r="F49" s="21" t="s">
        <v>47</v>
      </c>
      <c r="G49" s="21" t="s">
        <v>192</v>
      </c>
      <c r="H49" s="21" t="s">
        <v>61</v>
      </c>
      <c r="I49" s="22" t="s">
        <v>37</v>
      </c>
      <c r="J49" s="22"/>
      <c r="K49" s="21">
        <v>140</v>
      </c>
      <c r="L49" s="21">
        <f>"78,3860"</f>
        <v>0</v>
      </c>
      <c r="M49" s="21"/>
    </row>
    <row r="50" spans="1:13" ht="12.75">
      <c r="A50" s="21" t="s">
        <v>268</v>
      </c>
      <c r="B50" s="21" t="s">
        <v>269</v>
      </c>
      <c r="C50" s="21" t="s">
        <v>270</v>
      </c>
      <c r="D50" s="21">
        <f>"0,5625"</f>
        <v>0</v>
      </c>
      <c r="E50" s="21" t="s">
        <v>25</v>
      </c>
      <c r="F50" s="21" t="s">
        <v>271</v>
      </c>
      <c r="G50" s="21" t="s">
        <v>61</v>
      </c>
      <c r="H50" s="21" t="s">
        <v>226</v>
      </c>
      <c r="I50" s="22" t="s">
        <v>227</v>
      </c>
      <c r="J50" s="22"/>
      <c r="K50" s="21">
        <v>145</v>
      </c>
      <c r="L50" s="21">
        <f>"81,5650"</f>
        <v>0</v>
      </c>
      <c r="M50" s="21"/>
    </row>
    <row r="51" spans="1:13" ht="12.75">
      <c r="A51" s="21" t="s">
        <v>272</v>
      </c>
      <c r="B51" s="21" t="s">
        <v>273</v>
      </c>
      <c r="C51" s="21" t="s">
        <v>274</v>
      </c>
      <c r="D51" s="21">
        <f>"0,6101"</f>
        <v>0</v>
      </c>
      <c r="E51" s="21" t="s">
        <v>25</v>
      </c>
      <c r="F51" s="21" t="s">
        <v>67</v>
      </c>
      <c r="G51" s="21" t="s">
        <v>233</v>
      </c>
      <c r="H51" s="21" t="s">
        <v>216</v>
      </c>
      <c r="I51" s="21" t="s">
        <v>245</v>
      </c>
      <c r="J51" s="22"/>
      <c r="K51" s="21">
        <v>165</v>
      </c>
      <c r="L51" s="21">
        <f>"100,6629"</f>
        <v>0</v>
      </c>
      <c r="M51" s="21"/>
    </row>
    <row r="52" spans="1:13" ht="12.75">
      <c r="A52" s="21" t="s">
        <v>275</v>
      </c>
      <c r="B52" s="21" t="s">
        <v>276</v>
      </c>
      <c r="C52" s="21" t="s">
        <v>277</v>
      </c>
      <c r="D52" s="21">
        <f>"0,6010"</f>
        <v>0</v>
      </c>
      <c r="E52" s="21" t="s">
        <v>16</v>
      </c>
      <c r="F52" s="21" t="s">
        <v>17</v>
      </c>
      <c r="G52" s="22" t="s">
        <v>233</v>
      </c>
      <c r="H52" s="22" t="s">
        <v>233</v>
      </c>
      <c r="I52" s="21" t="s">
        <v>233</v>
      </c>
      <c r="J52" s="22"/>
      <c r="K52" s="21">
        <v>152.5</v>
      </c>
      <c r="L52" s="21">
        <f>"91,6512"</f>
        <v>0</v>
      </c>
      <c r="M52" s="21"/>
    </row>
    <row r="53" spans="1:13" ht="12.75">
      <c r="A53" s="23" t="s">
        <v>75</v>
      </c>
      <c r="B53" s="23" t="s">
        <v>76</v>
      </c>
      <c r="C53" s="23" t="s">
        <v>77</v>
      </c>
      <c r="D53" s="23">
        <f>"0,7035"</f>
        <v>0</v>
      </c>
      <c r="E53" s="23" t="s">
        <v>78</v>
      </c>
      <c r="F53" s="23" t="s">
        <v>79</v>
      </c>
      <c r="G53" s="23" t="s">
        <v>36</v>
      </c>
      <c r="H53" s="24" t="s">
        <v>226</v>
      </c>
      <c r="I53" s="24" t="s">
        <v>226</v>
      </c>
      <c r="J53" s="24"/>
      <c r="K53" s="23">
        <v>135</v>
      </c>
      <c r="L53" s="23">
        <f>"94,9731"</f>
        <v>0</v>
      </c>
      <c r="M53" s="23"/>
    </row>
    <row r="55" spans="1:12" ht="15">
      <c r="A55" s="18" t="s">
        <v>82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3" ht="12.75">
      <c r="A56" s="19" t="s">
        <v>278</v>
      </c>
      <c r="B56" s="19" t="s">
        <v>279</v>
      </c>
      <c r="C56" s="19" t="s">
        <v>280</v>
      </c>
      <c r="D56" s="19">
        <f>"0,5506"</f>
        <v>0</v>
      </c>
      <c r="E56" s="19" t="s">
        <v>262</v>
      </c>
      <c r="F56" s="19" t="s">
        <v>263</v>
      </c>
      <c r="G56" s="19" t="s">
        <v>257</v>
      </c>
      <c r="H56" s="19" t="s">
        <v>264</v>
      </c>
      <c r="I56" s="20" t="s">
        <v>80</v>
      </c>
      <c r="J56" s="20"/>
      <c r="K56" s="19">
        <v>190</v>
      </c>
      <c r="L56" s="19">
        <f>"104,6140"</f>
        <v>0</v>
      </c>
      <c r="M56" s="19"/>
    </row>
    <row r="57" spans="1:13" ht="12.75">
      <c r="A57" s="21" t="s">
        <v>83</v>
      </c>
      <c r="B57" s="21" t="s">
        <v>84</v>
      </c>
      <c r="C57" s="21" t="s">
        <v>85</v>
      </c>
      <c r="D57" s="21">
        <f>"0,5459"</f>
        <v>0</v>
      </c>
      <c r="E57" s="21" t="s">
        <v>25</v>
      </c>
      <c r="F57" s="21" t="s">
        <v>34</v>
      </c>
      <c r="G57" s="21" t="s">
        <v>217</v>
      </c>
      <c r="H57" s="21" t="s">
        <v>68</v>
      </c>
      <c r="I57" s="21" t="s">
        <v>257</v>
      </c>
      <c r="J57" s="22"/>
      <c r="K57" s="21">
        <v>185</v>
      </c>
      <c r="L57" s="21">
        <f>"100,9915"</f>
        <v>0</v>
      </c>
      <c r="M57" s="21"/>
    </row>
    <row r="58" spans="1:13" ht="12.75">
      <c r="A58" s="23" t="s">
        <v>278</v>
      </c>
      <c r="B58" s="23" t="s">
        <v>281</v>
      </c>
      <c r="C58" s="23" t="s">
        <v>280</v>
      </c>
      <c r="D58" s="23">
        <f>"0,5677"</f>
        <v>0</v>
      </c>
      <c r="E58" s="23" t="s">
        <v>262</v>
      </c>
      <c r="F58" s="23" t="s">
        <v>263</v>
      </c>
      <c r="G58" s="23" t="s">
        <v>257</v>
      </c>
      <c r="H58" s="23" t="s">
        <v>264</v>
      </c>
      <c r="I58" s="24" t="s">
        <v>80</v>
      </c>
      <c r="J58" s="24"/>
      <c r="K58" s="23">
        <v>190</v>
      </c>
      <c r="L58" s="23">
        <f>"107,8570"</f>
        <v>0</v>
      </c>
      <c r="M58" s="23"/>
    </row>
    <row r="60" spans="1:12" ht="15">
      <c r="A60" s="18" t="s">
        <v>89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3" ht="12.75">
      <c r="A61" s="19" t="s">
        <v>282</v>
      </c>
      <c r="B61" s="19" t="s">
        <v>283</v>
      </c>
      <c r="C61" s="19" t="s">
        <v>284</v>
      </c>
      <c r="D61" s="19">
        <f>"0,5804"</f>
        <v>0</v>
      </c>
      <c r="E61" s="19" t="s">
        <v>25</v>
      </c>
      <c r="F61" s="19" t="s">
        <v>47</v>
      </c>
      <c r="G61" s="19" t="s">
        <v>49</v>
      </c>
      <c r="H61" s="19" t="s">
        <v>285</v>
      </c>
      <c r="I61" s="19" t="s">
        <v>146</v>
      </c>
      <c r="J61" s="20"/>
      <c r="K61" s="19">
        <v>175</v>
      </c>
      <c r="L61" s="19">
        <f>"101,5696"</f>
        <v>0</v>
      </c>
      <c r="M61" s="19"/>
    </row>
    <row r="62" spans="1:13" ht="12.75">
      <c r="A62" s="23" t="s">
        <v>286</v>
      </c>
      <c r="B62" s="23" t="s">
        <v>287</v>
      </c>
      <c r="C62" s="23" t="s">
        <v>288</v>
      </c>
      <c r="D62" s="23">
        <f>"0,6695"</f>
        <v>0</v>
      </c>
      <c r="E62" s="23" t="s">
        <v>262</v>
      </c>
      <c r="F62" s="23" t="s">
        <v>47</v>
      </c>
      <c r="G62" s="23" t="s">
        <v>49</v>
      </c>
      <c r="H62" s="23" t="s">
        <v>285</v>
      </c>
      <c r="I62" s="24" t="s">
        <v>146</v>
      </c>
      <c r="J62" s="24"/>
      <c r="K62" s="23">
        <v>172.5</v>
      </c>
      <c r="L62" s="23">
        <f>"115,4802"</f>
        <v>0</v>
      </c>
      <c r="M62" s="23"/>
    </row>
    <row r="64" ht="15">
      <c r="E64" s="25" t="s">
        <v>99</v>
      </c>
    </row>
    <row r="65" ht="15">
      <c r="E65" s="25" t="s">
        <v>100</v>
      </c>
    </row>
    <row r="66" ht="15">
      <c r="E66" s="25" t="s">
        <v>101</v>
      </c>
    </row>
    <row r="67" ht="12.75">
      <c r="E67" s="1" t="s">
        <v>102</v>
      </c>
    </row>
    <row r="68" ht="12.75">
      <c r="E68" s="1" t="s">
        <v>103</v>
      </c>
    </row>
    <row r="69" ht="12.75">
      <c r="E69" s="1" t="s">
        <v>104</v>
      </c>
    </row>
    <row r="72" spans="1:2" ht="17.25">
      <c r="A72" s="26" t="s">
        <v>105</v>
      </c>
      <c r="B72" s="26"/>
    </row>
    <row r="73" spans="1:2" ht="15">
      <c r="A73" s="27" t="s">
        <v>106</v>
      </c>
      <c r="B73" s="27"/>
    </row>
    <row r="74" spans="1:2" ht="14.25">
      <c r="A74" s="28" t="s">
        <v>127</v>
      </c>
      <c r="B74" s="29"/>
    </row>
    <row r="75" spans="1:5" ht="13.5">
      <c r="A75" s="30" t="s">
        <v>1</v>
      </c>
      <c r="B75" s="30" t="s">
        <v>108</v>
      </c>
      <c r="C75" s="30" t="s">
        <v>109</v>
      </c>
      <c r="D75" s="30" t="s">
        <v>8</v>
      </c>
      <c r="E75" s="30" t="s">
        <v>110</v>
      </c>
    </row>
    <row r="76" spans="1:5" ht="12.75">
      <c r="A76" s="31" t="s">
        <v>167</v>
      </c>
      <c r="B76" s="1" t="s">
        <v>127</v>
      </c>
      <c r="C76" s="1" t="s">
        <v>120</v>
      </c>
      <c r="D76" s="1" t="s">
        <v>171</v>
      </c>
      <c r="E76" s="32" t="s">
        <v>289</v>
      </c>
    </row>
    <row r="77" spans="1:5" ht="12.75">
      <c r="A77" s="31" t="s">
        <v>156</v>
      </c>
      <c r="B77" s="1" t="s">
        <v>127</v>
      </c>
      <c r="C77" s="1" t="s">
        <v>290</v>
      </c>
      <c r="D77" s="1" t="s">
        <v>159</v>
      </c>
      <c r="E77" s="32" t="s">
        <v>291</v>
      </c>
    </row>
    <row r="78" spans="1:5" ht="12.75">
      <c r="A78" s="31" t="s">
        <v>160</v>
      </c>
      <c r="B78" s="1" t="s">
        <v>127</v>
      </c>
      <c r="C78" s="1" t="s">
        <v>290</v>
      </c>
      <c r="D78" s="1" t="s">
        <v>166</v>
      </c>
      <c r="E78" s="32" t="s">
        <v>292</v>
      </c>
    </row>
    <row r="79" spans="1:5" ht="12.75">
      <c r="A79" s="31" t="s">
        <v>151</v>
      </c>
      <c r="B79" s="1" t="s">
        <v>127</v>
      </c>
      <c r="C79" s="1" t="s">
        <v>293</v>
      </c>
      <c r="D79" s="1" t="s">
        <v>154</v>
      </c>
      <c r="E79" s="32" t="s">
        <v>294</v>
      </c>
    </row>
    <row r="80" spans="1:5" ht="12.75">
      <c r="A80" s="31" t="s">
        <v>173</v>
      </c>
      <c r="B80" s="1" t="s">
        <v>127</v>
      </c>
      <c r="C80" s="1" t="s">
        <v>134</v>
      </c>
      <c r="D80" s="1" t="s">
        <v>166</v>
      </c>
      <c r="E80" s="32" t="s">
        <v>295</v>
      </c>
    </row>
    <row r="82" spans="1:2" ht="14.25">
      <c r="A82" s="28" t="s">
        <v>118</v>
      </c>
      <c r="B82" s="29"/>
    </row>
    <row r="83" spans="1:5" ht="13.5">
      <c r="A83" s="30" t="s">
        <v>1</v>
      </c>
      <c r="B83" s="30" t="s">
        <v>108</v>
      </c>
      <c r="C83" s="30" t="s">
        <v>109</v>
      </c>
      <c r="D83" s="30" t="s">
        <v>8</v>
      </c>
      <c r="E83" s="30" t="s">
        <v>110</v>
      </c>
    </row>
    <row r="84" spans="1:5" ht="12.75">
      <c r="A84" s="31" t="s">
        <v>22</v>
      </c>
      <c r="B84" s="1" t="s">
        <v>119</v>
      </c>
      <c r="C84" s="1" t="s">
        <v>120</v>
      </c>
      <c r="D84" s="1" t="s">
        <v>172</v>
      </c>
      <c r="E84" s="32" t="s">
        <v>296</v>
      </c>
    </row>
    <row r="87" spans="1:2" ht="15">
      <c r="A87" s="27" t="s">
        <v>122</v>
      </c>
      <c r="B87" s="27"/>
    </row>
    <row r="88" spans="1:2" ht="14.25">
      <c r="A88" s="28" t="s">
        <v>107</v>
      </c>
      <c r="B88" s="29"/>
    </row>
    <row r="89" spans="1:5" ht="13.5">
      <c r="A89" s="30" t="s">
        <v>1</v>
      </c>
      <c r="B89" s="30" t="s">
        <v>108</v>
      </c>
      <c r="C89" s="30" t="s">
        <v>109</v>
      </c>
      <c r="D89" s="30" t="s">
        <v>8</v>
      </c>
      <c r="E89" s="30" t="s">
        <v>110</v>
      </c>
    </row>
    <row r="90" spans="1:5" ht="12.75">
      <c r="A90" s="31" t="s">
        <v>250</v>
      </c>
      <c r="B90" s="1" t="s">
        <v>297</v>
      </c>
      <c r="C90" s="1" t="s">
        <v>132</v>
      </c>
      <c r="D90" s="1" t="s">
        <v>227</v>
      </c>
      <c r="E90" s="32" t="s">
        <v>298</v>
      </c>
    </row>
    <row r="91" spans="1:5" ht="12.75">
      <c r="A91" s="31" t="s">
        <v>181</v>
      </c>
      <c r="B91" s="1" t="s">
        <v>123</v>
      </c>
      <c r="C91" s="1" t="s">
        <v>116</v>
      </c>
      <c r="D91" s="1" t="s">
        <v>28</v>
      </c>
      <c r="E91" s="32" t="s">
        <v>299</v>
      </c>
    </row>
    <row r="93" spans="1:2" ht="14.25">
      <c r="A93" s="28" t="s">
        <v>114</v>
      </c>
      <c r="B93" s="29"/>
    </row>
    <row r="94" spans="1:5" ht="13.5">
      <c r="A94" s="30" t="s">
        <v>1</v>
      </c>
      <c r="B94" s="30" t="s">
        <v>108</v>
      </c>
      <c r="C94" s="30" t="s">
        <v>109</v>
      </c>
      <c r="D94" s="30" t="s">
        <v>8</v>
      </c>
      <c r="E94" s="30" t="s">
        <v>110</v>
      </c>
    </row>
    <row r="95" spans="1:5" ht="12.75">
      <c r="A95" s="31" t="s">
        <v>253</v>
      </c>
      <c r="B95" s="1" t="s">
        <v>115</v>
      </c>
      <c r="C95" s="1" t="s">
        <v>132</v>
      </c>
      <c r="D95" s="1" t="s">
        <v>257</v>
      </c>
      <c r="E95" s="32" t="s">
        <v>300</v>
      </c>
    </row>
    <row r="96" spans="1:5" ht="12.75">
      <c r="A96" s="31" t="s">
        <v>223</v>
      </c>
      <c r="B96" s="1" t="s">
        <v>115</v>
      </c>
      <c r="C96" s="1" t="s">
        <v>134</v>
      </c>
      <c r="D96" s="1" t="s">
        <v>227</v>
      </c>
      <c r="E96" s="32" t="s">
        <v>301</v>
      </c>
    </row>
    <row r="98" spans="1:2" ht="14.25">
      <c r="A98" s="28" t="s">
        <v>127</v>
      </c>
      <c r="B98" s="29"/>
    </row>
    <row r="99" spans="1:5" ht="13.5">
      <c r="A99" s="30" t="s">
        <v>1</v>
      </c>
      <c r="B99" s="30" t="s">
        <v>108</v>
      </c>
      <c r="C99" s="30" t="s">
        <v>109</v>
      </c>
      <c r="D99" s="30" t="s">
        <v>8</v>
      </c>
      <c r="E99" s="30" t="s">
        <v>110</v>
      </c>
    </row>
    <row r="100" spans="1:5" ht="12.75">
      <c r="A100" s="31" t="s">
        <v>278</v>
      </c>
      <c r="B100" s="1" t="s">
        <v>127</v>
      </c>
      <c r="C100" s="1" t="s">
        <v>128</v>
      </c>
      <c r="D100" s="1" t="s">
        <v>264</v>
      </c>
      <c r="E100" s="32" t="s">
        <v>302</v>
      </c>
    </row>
    <row r="101" spans="1:5" ht="12.75">
      <c r="A101" s="31" t="s">
        <v>83</v>
      </c>
      <c r="B101" s="1" t="s">
        <v>127</v>
      </c>
      <c r="C101" s="1" t="s">
        <v>128</v>
      </c>
      <c r="D101" s="1" t="s">
        <v>257</v>
      </c>
      <c r="E101" s="32" t="s">
        <v>303</v>
      </c>
    </row>
    <row r="102" spans="1:5" ht="12.75">
      <c r="A102" s="31" t="s">
        <v>259</v>
      </c>
      <c r="B102" s="1" t="s">
        <v>127</v>
      </c>
      <c r="C102" s="1" t="s">
        <v>132</v>
      </c>
      <c r="D102" s="1" t="s">
        <v>68</v>
      </c>
      <c r="E102" s="32" t="s">
        <v>304</v>
      </c>
    </row>
    <row r="103" spans="1:5" ht="12.75">
      <c r="A103" s="31" t="s">
        <v>212</v>
      </c>
      <c r="B103" s="1" t="s">
        <v>127</v>
      </c>
      <c r="C103" s="1" t="s">
        <v>305</v>
      </c>
      <c r="D103" s="1" t="s">
        <v>48</v>
      </c>
      <c r="E103" s="32" t="s">
        <v>306</v>
      </c>
    </row>
    <row r="104" spans="1:5" ht="12.75">
      <c r="A104" s="31" t="s">
        <v>186</v>
      </c>
      <c r="B104" s="1" t="s">
        <v>127</v>
      </c>
      <c r="C104" s="1" t="s">
        <v>116</v>
      </c>
      <c r="D104" s="1" t="s">
        <v>192</v>
      </c>
      <c r="E104" s="32" t="s">
        <v>307</v>
      </c>
    </row>
    <row r="105" spans="1:5" ht="12.75">
      <c r="A105" s="31" t="s">
        <v>200</v>
      </c>
      <c r="B105" s="1" t="s">
        <v>127</v>
      </c>
      <c r="C105" s="1" t="s">
        <v>125</v>
      </c>
      <c r="D105" s="1" t="s">
        <v>203</v>
      </c>
      <c r="E105" s="32" t="s">
        <v>308</v>
      </c>
    </row>
    <row r="106" spans="1:5" ht="12.75">
      <c r="A106" s="31" t="s">
        <v>204</v>
      </c>
      <c r="B106" s="1" t="s">
        <v>127</v>
      </c>
      <c r="C106" s="1" t="s">
        <v>125</v>
      </c>
      <c r="D106" s="1" t="s">
        <v>203</v>
      </c>
      <c r="E106" s="32" t="s">
        <v>309</v>
      </c>
    </row>
    <row r="107" spans="1:5" ht="12.75">
      <c r="A107" s="31" t="s">
        <v>176</v>
      </c>
      <c r="B107" s="1" t="s">
        <v>127</v>
      </c>
      <c r="C107" s="1" t="s">
        <v>290</v>
      </c>
      <c r="D107" s="1" t="s">
        <v>180</v>
      </c>
      <c r="E107" s="32" t="s">
        <v>310</v>
      </c>
    </row>
    <row r="108" spans="1:5" ht="12.75">
      <c r="A108" s="31" t="s">
        <v>218</v>
      </c>
      <c r="B108" s="1" t="s">
        <v>127</v>
      </c>
      <c r="C108" s="1" t="s">
        <v>305</v>
      </c>
      <c r="D108" s="1" t="s">
        <v>222</v>
      </c>
      <c r="E108" s="32" t="s">
        <v>311</v>
      </c>
    </row>
    <row r="109" spans="1:5" ht="12.75">
      <c r="A109" s="31" t="s">
        <v>193</v>
      </c>
      <c r="B109" s="1" t="s">
        <v>127</v>
      </c>
      <c r="C109" s="1" t="s">
        <v>116</v>
      </c>
      <c r="D109" s="1" t="s">
        <v>198</v>
      </c>
      <c r="E109" s="32" t="s">
        <v>312</v>
      </c>
    </row>
    <row r="110" spans="1:5" ht="12.75">
      <c r="A110" s="31" t="s">
        <v>265</v>
      </c>
      <c r="B110" s="1" t="s">
        <v>127</v>
      </c>
      <c r="C110" s="1" t="s">
        <v>132</v>
      </c>
      <c r="D110" s="1" t="s">
        <v>61</v>
      </c>
      <c r="E110" s="32" t="s">
        <v>313</v>
      </c>
    </row>
    <row r="111" spans="1:5" ht="12.75">
      <c r="A111" s="31" t="s">
        <v>234</v>
      </c>
      <c r="B111" s="1" t="s">
        <v>127</v>
      </c>
      <c r="C111" s="1" t="s">
        <v>134</v>
      </c>
      <c r="D111" s="1" t="s">
        <v>192</v>
      </c>
      <c r="E111" s="32" t="s">
        <v>314</v>
      </c>
    </row>
    <row r="112" spans="1:5" ht="12.75">
      <c r="A112" s="31" t="s">
        <v>181</v>
      </c>
      <c r="B112" s="1" t="s">
        <v>127</v>
      </c>
      <c r="C112" s="1" t="s">
        <v>116</v>
      </c>
      <c r="D112" s="1" t="s">
        <v>28</v>
      </c>
      <c r="E112" s="32" t="s">
        <v>299</v>
      </c>
    </row>
    <row r="114" spans="1:2" ht="14.25">
      <c r="A114" s="28" t="s">
        <v>118</v>
      </c>
      <c r="B114" s="29"/>
    </row>
    <row r="115" spans="1:5" ht="13.5">
      <c r="A115" s="30" t="s">
        <v>1</v>
      </c>
      <c r="B115" s="30" t="s">
        <v>108</v>
      </c>
      <c r="C115" s="30" t="s">
        <v>109</v>
      </c>
      <c r="D115" s="30" t="s">
        <v>8</v>
      </c>
      <c r="E115" s="30" t="s">
        <v>110</v>
      </c>
    </row>
    <row r="116" spans="1:5" ht="12.75">
      <c r="A116" s="31" t="s">
        <v>286</v>
      </c>
      <c r="B116" s="1" t="s">
        <v>136</v>
      </c>
      <c r="C116" s="1" t="s">
        <v>130</v>
      </c>
      <c r="D116" s="1" t="s">
        <v>285</v>
      </c>
      <c r="E116" s="32" t="s">
        <v>315</v>
      </c>
    </row>
    <row r="117" spans="1:5" ht="12.75">
      <c r="A117" s="31" t="s">
        <v>278</v>
      </c>
      <c r="B117" s="1" t="s">
        <v>119</v>
      </c>
      <c r="C117" s="1" t="s">
        <v>128</v>
      </c>
      <c r="D117" s="1" t="s">
        <v>264</v>
      </c>
      <c r="E117" s="32" t="s">
        <v>316</v>
      </c>
    </row>
    <row r="118" spans="1:5" ht="12.75">
      <c r="A118" s="31" t="s">
        <v>241</v>
      </c>
      <c r="B118" s="1" t="s">
        <v>138</v>
      </c>
      <c r="C118" s="1" t="s">
        <v>134</v>
      </c>
      <c r="D118" s="1" t="s">
        <v>245</v>
      </c>
      <c r="E118" s="32" t="s">
        <v>317</v>
      </c>
    </row>
    <row r="119" spans="1:5" ht="12.75">
      <c r="A119" s="31" t="s">
        <v>282</v>
      </c>
      <c r="B119" s="1" t="s">
        <v>138</v>
      </c>
      <c r="C119" s="1" t="s">
        <v>130</v>
      </c>
      <c r="D119" s="1" t="s">
        <v>146</v>
      </c>
      <c r="E119" s="32" t="s">
        <v>318</v>
      </c>
    </row>
    <row r="120" spans="1:5" ht="12.75">
      <c r="A120" s="31" t="s">
        <v>272</v>
      </c>
      <c r="B120" s="1" t="s">
        <v>138</v>
      </c>
      <c r="C120" s="1" t="s">
        <v>132</v>
      </c>
      <c r="D120" s="1" t="s">
        <v>245</v>
      </c>
      <c r="E120" s="32" t="s">
        <v>319</v>
      </c>
    </row>
    <row r="121" spans="1:5" ht="12.75">
      <c r="A121" s="31" t="s">
        <v>75</v>
      </c>
      <c r="B121" s="1" t="s">
        <v>136</v>
      </c>
      <c r="C121" s="1" t="s">
        <v>132</v>
      </c>
      <c r="D121" s="1" t="s">
        <v>36</v>
      </c>
      <c r="E121" s="32" t="s">
        <v>320</v>
      </c>
    </row>
    <row r="122" spans="1:5" ht="12.75">
      <c r="A122" s="31" t="s">
        <v>246</v>
      </c>
      <c r="B122" s="1" t="s">
        <v>138</v>
      </c>
      <c r="C122" s="1" t="s">
        <v>134</v>
      </c>
      <c r="D122" s="1" t="s">
        <v>61</v>
      </c>
      <c r="E122" s="32" t="s">
        <v>321</v>
      </c>
    </row>
    <row r="123" spans="1:5" ht="12.75">
      <c r="A123" s="31" t="s">
        <v>275</v>
      </c>
      <c r="B123" s="1" t="s">
        <v>138</v>
      </c>
      <c r="C123" s="1" t="s">
        <v>132</v>
      </c>
      <c r="D123" s="1" t="s">
        <v>233</v>
      </c>
      <c r="E123" s="32" t="s">
        <v>322</v>
      </c>
    </row>
    <row r="124" spans="1:5" ht="12.75">
      <c r="A124" s="31" t="s">
        <v>238</v>
      </c>
      <c r="B124" s="1" t="s">
        <v>119</v>
      </c>
      <c r="C124" s="1" t="s">
        <v>134</v>
      </c>
      <c r="D124" s="1" t="s">
        <v>233</v>
      </c>
      <c r="E124" s="32" t="s">
        <v>323</v>
      </c>
    </row>
    <row r="125" spans="1:5" ht="12.75">
      <c r="A125" s="31" t="s">
        <v>268</v>
      </c>
      <c r="B125" s="1" t="s">
        <v>119</v>
      </c>
      <c r="C125" s="1" t="s">
        <v>132</v>
      </c>
      <c r="D125" s="1" t="s">
        <v>226</v>
      </c>
      <c r="E125" s="32" t="s">
        <v>324</v>
      </c>
    </row>
  </sheetData>
  <sheetProtection selectLockedCells="1" selectUnlockedCells="1"/>
  <mergeCells count="2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6:L16"/>
    <mergeCell ref="A19:L19"/>
    <mergeCell ref="A22:L22"/>
    <mergeCell ref="A28:L28"/>
    <mergeCell ref="A33:L33"/>
    <mergeCell ref="A37:L37"/>
    <mergeCell ref="A45:L45"/>
    <mergeCell ref="A55:L55"/>
    <mergeCell ref="A60:L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5.50390625" style="1" customWidth="1"/>
    <col min="7" max="9" width="5.50390625" style="1" customWidth="1"/>
    <col min="10" max="10" width="4.50390625" style="1" customWidth="1"/>
    <col min="11" max="13" width="5.50390625" style="1" customWidth="1"/>
    <col min="14" max="14" width="4.50390625" style="1" customWidth="1"/>
    <col min="15" max="17" width="5.50390625" style="1" customWidth="1"/>
    <col min="18" max="18" width="4.50390625" style="1" customWidth="1"/>
    <col min="19" max="19" width="6.375" style="1" customWidth="1"/>
    <col min="20" max="20" width="8.50390625" style="1" customWidth="1"/>
    <col min="21" max="21" width="7.125" style="1" customWidth="1"/>
  </cols>
  <sheetData>
    <row r="1" spans="1:21" s="3" customFormat="1" ht="15" customHeight="1">
      <c r="A1" s="2" t="s">
        <v>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326</v>
      </c>
      <c r="H3" s="8"/>
      <c r="I3" s="8"/>
      <c r="J3" s="8"/>
      <c r="K3" s="8" t="s">
        <v>149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0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ht="12.75">
      <c r="A6" s="16" t="s">
        <v>327</v>
      </c>
      <c r="B6" s="16" t="s">
        <v>328</v>
      </c>
      <c r="C6" s="16" t="s">
        <v>15</v>
      </c>
      <c r="D6" s="16">
        <f>"1,0405"</f>
        <v>0</v>
      </c>
      <c r="E6" s="16" t="s">
        <v>25</v>
      </c>
      <c r="F6" s="16" t="s">
        <v>47</v>
      </c>
      <c r="G6" s="17" t="s">
        <v>198</v>
      </c>
      <c r="H6" s="16" t="s">
        <v>329</v>
      </c>
      <c r="I6" s="16" t="s">
        <v>191</v>
      </c>
      <c r="J6" s="17"/>
      <c r="K6" s="17" t="s">
        <v>20</v>
      </c>
      <c r="L6" s="16" t="s">
        <v>172</v>
      </c>
      <c r="M6" s="16" t="s">
        <v>164</v>
      </c>
      <c r="N6" s="17"/>
      <c r="O6" s="16" t="s">
        <v>198</v>
      </c>
      <c r="P6" s="16" t="s">
        <v>191</v>
      </c>
      <c r="Q6" s="16" t="s">
        <v>330</v>
      </c>
      <c r="R6" s="17"/>
      <c r="S6" s="16">
        <v>292.5</v>
      </c>
      <c r="T6" s="16">
        <f>"304,3463"</f>
        <v>0</v>
      </c>
      <c r="U6" s="16"/>
    </row>
    <row r="8" spans="1:20" ht="15">
      <c r="A8" s="18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1" ht="12.75">
      <c r="A9" s="16" t="s">
        <v>331</v>
      </c>
      <c r="B9" s="16" t="s">
        <v>332</v>
      </c>
      <c r="C9" s="16" t="s">
        <v>333</v>
      </c>
      <c r="D9" s="16">
        <f>"0,8202"</f>
        <v>0</v>
      </c>
      <c r="E9" s="16" t="s">
        <v>25</v>
      </c>
      <c r="F9" s="16" t="s">
        <v>334</v>
      </c>
      <c r="G9" s="16" t="s">
        <v>335</v>
      </c>
      <c r="H9" s="16" t="s">
        <v>329</v>
      </c>
      <c r="I9" s="17" t="s">
        <v>330</v>
      </c>
      <c r="J9" s="17"/>
      <c r="K9" s="16" t="s">
        <v>172</v>
      </c>
      <c r="L9" s="16" t="s">
        <v>165</v>
      </c>
      <c r="M9" s="17" t="s">
        <v>159</v>
      </c>
      <c r="N9" s="17"/>
      <c r="O9" s="16" t="s">
        <v>198</v>
      </c>
      <c r="P9" s="16" t="s">
        <v>35</v>
      </c>
      <c r="Q9" s="16" t="s">
        <v>203</v>
      </c>
      <c r="R9" s="17"/>
      <c r="S9" s="16">
        <v>305</v>
      </c>
      <c r="T9" s="16">
        <f>"250,1610"</f>
        <v>0</v>
      </c>
      <c r="U9" s="16"/>
    </row>
    <row r="11" spans="1:20" ht="15">
      <c r="A11" s="18" t="s">
        <v>30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1" ht="12.75">
      <c r="A12" s="16" t="s">
        <v>336</v>
      </c>
      <c r="B12" s="16" t="s">
        <v>337</v>
      </c>
      <c r="C12" s="16" t="s">
        <v>338</v>
      </c>
      <c r="D12" s="16">
        <f>"0,7568"</f>
        <v>0</v>
      </c>
      <c r="E12" s="16" t="s">
        <v>25</v>
      </c>
      <c r="F12" s="16" t="s">
        <v>34</v>
      </c>
      <c r="G12" s="16" t="s">
        <v>339</v>
      </c>
      <c r="H12" s="17" t="s">
        <v>198</v>
      </c>
      <c r="I12" s="17" t="s">
        <v>35</v>
      </c>
      <c r="J12" s="17"/>
      <c r="K12" s="16" t="s">
        <v>27</v>
      </c>
      <c r="L12" s="16" t="s">
        <v>28</v>
      </c>
      <c r="M12" s="16" t="s">
        <v>29</v>
      </c>
      <c r="N12" s="17"/>
      <c r="O12" s="16" t="s">
        <v>35</v>
      </c>
      <c r="P12" s="16" t="s">
        <v>203</v>
      </c>
      <c r="Q12" s="16" t="s">
        <v>61</v>
      </c>
      <c r="R12" s="17"/>
      <c r="S12" s="16">
        <v>330</v>
      </c>
      <c r="T12" s="16">
        <f>"249,7440"</f>
        <v>0</v>
      </c>
      <c r="U12" s="16"/>
    </row>
    <row r="14" spans="1:20" ht="15">
      <c r="A14" s="18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1" ht="12.75">
      <c r="A15" s="19" t="s">
        <v>340</v>
      </c>
      <c r="B15" s="19" t="s">
        <v>341</v>
      </c>
      <c r="C15" s="19" t="s">
        <v>342</v>
      </c>
      <c r="D15" s="19">
        <f>"0,5448"</f>
        <v>0</v>
      </c>
      <c r="E15" s="19" t="s">
        <v>16</v>
      </c>
      <c r="F15" s="19" t="s">
        <v>47</v>
      </c>
      <c r="G15" s="19" t="s">
        <v>48</v>
      </c>
      <c r="H15" s="20" t="s">
        <v>68</v>
      </c>
      <c r="I15" s="20" t="s">
        <v>68</v>
      </c>
      <c r="J15" s="20"/>
      <c r="K15" s="19" t="s">
        <v>198</v>
      </c>
      <c r="L15" s="20" t="s">
        <v>203</v>
      </c>
      <c r="M15" s="20" t="s">
        <v>203</v>
      </c>
      <c r="N15" s="20"/>
      <c r="O15" s="19" t="s">
        <v>264</v>
      </c>
      <c r="P15" s="19" t="s">
        <v>70</v>
      </c>
      <c r="Q15" s="20"/>
      <c r="R15" s="20"/>
      <c r="S15" s="19">
        <v>480</v>
      </c>
      <c r="T15" s="19">
        <f>"261,5040"</f>
        <v>0</v>
      </c>
      <c r="U15" s="19"/>
    </row>
    <row r="16" spans="1:21" ht="12.75">
      <c r="A16" s="23" t="s">
        <v>343</v>
      </c>
      <c r="B16" s="23" t="s">
        <v>344</v>
      </c>
      <c r="C16" s="23" t="s">
        <v>345</v>
      </c>
      <c r="D16" s="23">
        <f>"0,5746"</f>
        <v>0</v>
      </c>
      <c r="E16" s="23" t="s">
        <v>346</v>
      </c>
      <c r="F16" s="23" t="s">
        <v>347</v>
      </c>
      <c r="G16" s="23" t="s">
        <v>227</v>
      </c>
      <c r="H16" s="23" t="s">
        <v>48</v>
      </c>
      <c r="I16" s="24" t="s">
        <v>49</v>
      </c>
      <c r="J16" s="24"/>
      <c r="K16" s="23" t="s">
        <v>36</v>
      </c>
      <c r="L16" s="23" t="s">
        <v>37</v>
      </c>
      <c r="M16" s="24" t="s">
        <v>227</v>
      </c>
      <c r="N16" s="24"/>
      <c r="O16" s="23" t="s">
        <v>68</v>
      </c>
      <c r="P16" s="23" t="s">
        <v>264</v>
      </c>
      <c r="Q16" s="23" t="s">
        <v>348</v>
      </c>
      <c r="R16" s="24"/>
      <c r="S16" s="23">
        <v>500</v>
      </c>
      <c r="T16" s="23">
        <f>"287,3092"</f>
        <v>0</v>
      </c>
      <c r="U16" s="23"/>
    </row>
    <row r="18" ht="15">
      <c r="E18" s="25" t="s">
        <v>99</v>
      </c>
    </row>
    <row r="19" ht="15">
      <c r="E19" s="25" t="s">
        <v>100</v>
      </c>
    </row>
    <row r="20" ht="15">
      <c r="E20" s="25" t="s">
        <v>101</v>
      </c>
    </row>
    <row r="21" ht="12.75">
      <c r="E21" s="1" t="s">
        <v>102</v>
      </c>
    </row>
    <row r="22" ht="12.75">
      <c r="E22" s="1" t="s">
        <v>103</v>
      </c>
    </row>
    <row r="23" ht="12.75">
      <c r="E23" s="1" t="s">
        <v>104</v>
      </c>
    </row>
    <row r="26" spans="1:2" ht="17.25">
      <c r="A26" s="26" t="s">
        <v>105</v>
      </c>
      <c r="B26" s="26"/>
    </row>
    <row r="27" spans="1:2" ht="15">
      <c r="A27" s="27" t="s">
        <v>106</v>
      </c>
      <c r="B27" s="27"/>
    </row>
    <row r="28" spans="1:2" ht="14.25">
      <c r="A28" s="28" t="s">
        <v>127</v>
      </c>
      <c r="B28" s="29"/>
    </row>
    <row r="29" spans="1:5" ht="13.5">
      <c r="A29" s="30" t="s">
        <v>1</v>
      </c>
      <c r="B29" s="30" t="s">
        <v>108</v>
      </c>
      <c r="C29" s="30" t="s">
        <v>109</v>
      </c>
      <c r="D29" s="30" t="s">
        <v>8</v>
      </c>
      <c r="E29" s="30" t="s">
        <v>110</v>
      </c>
    </row>
    <row r="30" spans="1:5" ht="12.75">
      <c r="A30" s="31" t="s">
        <v>327</v>
      </c>
      <c r="B30" s="1" t="s">
        <v>127</v>
      </c>
      <c r="C30" s="1" t="s">
        <v>112</v>
      </c>
      <c r="D30" s="1" t="s">
        <v>349</v>
      </c>
      <c r="E30" s="32" t="s">
        <v>350</v>
      </c>
    </row>
    <row r="31" spans="1:5" ht="12.75">
      <c r="A31" s="31" t="s">
        <v>331</v>
      </c>
      <c r="B31" s="1" t="s">
        <v>127</v>
      </c>
      <c r="C31" s="1" t="s">
        <v>116</v>
      </c>
      <c r="D31" s="1" t="s">
        <v>351</v>
      </c>
      <c r="E31" s="32" t="s">
        <v>352</v>
      </c>
    </row>
    <row r="34" spans="1:2" ht="15">
      <c r="A34" s="27" t="s">
        <v>122</v>
      </c>
      <c r="B34" s="27"/>
    </row>
    <row r="35" spans="1:2" ht="14.25">
      <c r="A35" s="28" t="s">
        <v>107</v>
      </c>
      <c r="B35" s="29"/>
    </row>
    <row r="36" spans="1:5" ht="13.5">
      <c r="A36" s="30" t="s">
        <v>1</v>
      </c>
      <c r="B36" s="30" t="s">
        <v>108</v>
      </c>
      <c r="C36" s="30" t="s">
        <v>109</v>
      </c>
      <c r="D36" s="30" t="s">
        <v>8</v>
      </c>
      <c r="E36" s="30" t="s">
        <v>110</v>
      </c>
    </row>
    <row r="37" spans="1:5" ht="12.75">
      <c r="A37" s="31" t="s">
        <v>336</v>
      </c>
      <c r="B37" s="1" t="s">
        <v>111</v>
      </c>
      <c r="C37" s="1" t="s">
        <v>116</v>
      </c>
      <c r="D37" s="1" t="s">
        <v>353</v>
      </c>
      <c r="E37" s="32" t="s">
        <v>354</v>
      </c>
    </row>
    <row r="39" spans="1:2" ht="14.25">
      <c r="A39" s="28" t="s">
        <v>127</v>
      </c>
      <c r="B39" s="29"/>
    </row>
    <row r="40" spans="1:5" ht="13.5">
      <c r="A40" s="30" t="s">
        <v>1</v>
      </c>
      <c r="B40" s="30" t="s">
        <v>108</v>
      </c>
      <c r="C40" s="30" t="s">
        <v>109</v>
      </c>
      <c r="D40" s="30" t="s">
        <v>8</v>
      </c>
      <c r="E40" s="30" t="s">
        <v>110</v>
      </c>
    </row>
    <row r="41" spans="1:5" ht="12.75">
      <c r="A41" s="31" t="s">
        <v>340</v>
      </c>
      <c r="B41" s="1" t="s">
        <v>127</v>
      </c>
      <c r="C41" s="1" t="s">
        <v>128</v>
      </c>
      <c r="D41" s="1" t="s">
        <v>355</v>
      </c>
      <c r="E41" s="32" t="s">
        <v>356</v>
      </c>
    </row>
    <row r="43" spans="1:2" ht="14.25">
      <c r="A43" s="28" t="s">
        <v>118</v>
      </c>
      <c r="B43" s="29"/>
    </row>
    <row r="44" spans="1:5" ht="13.5">
      <c r="A44" s="30" t="s">
        <v>1</v>
      </c>
      <c r="B44" s="30" t="s">
        <v>108</v>
      </c>
      <c r="C44" s="30" t="s">
        <v>109</v>
      </c>
      <c r="D44" s="30" t="s">
        <v>8</v>
      </c>
      <c r="E44" s="30" t="s">
        <v>110</v>
      </c>
    </row>
    <row r="45" spans="1:5" ht="12.75">
      <c r="A45" s="31" t="s">
        <v>343</v>
      </c>
      <c r="B45" s="1" t="s">
        <v>138</v>
      </c>
      <c r="C45" s="1" t="s">
        <v>128</v>
      </c>
      <c r="D45" s="1" t="s">
        <v>357</v>
      </c>
      <c r="E45" s="32" t="s">
        <v>358</v>
      </c>
    </row>
  </sheetData>
  <sheetProtection selectLockedCells="1" selectUnlockedCells="1"/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14:T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6.5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8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149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360</v>
      </c>
      <c r="B6" s="16" t="s">
        <v>361</v>
      </c>
      <c r="C6" s="16" t="s">
        <v>362</v>
      </c>
      <c r="D6" s="16">
        <f>"0,7439"</f>
        <v>0</v>
      </c>
      <c r="E6" s="16" t="s">
        <v>78</v>
      </c>
      <c r="F6" s="16" t="s">
        <v>78</v>
      </c>
      <c r="G6" s="16" t="s">
        <v>203</v>
      </c>
      <c r="H6" s="16" t="s">
        <v>36</v>
      </c>
      <c r="I6" s="17" t="s">
        <v>61</v>
      </c>
      <c r="J6" s="17"/>
      <c r="K6" s="16">
        <v>135</v>
      </c>
      <c r="L6" s="16">
        <f>"100,4259"</f>
        <v>0</v>
      </c>
      <c r="M6" s="16"/>
    </row>
    <row r="8" ht="15">
      <c r="E8" s="25" t="s">
        <v>99</v>
      </c>
    </row>
    <row r="9" ht="15">
      <c r="E9" s="25" t="s">
        <v>100</v>
      </c>
    </row>
    <row r="10" ht="15">
      <c r="E10" s="25" t="s">
        <v>101</v>
      </c>
    </row>
    <row r="11" ht="12.75">
      <c r="E11" s="1" t="s">
        <v>102</v>
      </c>
    </row>
    <row r="12" ht="12.75">
      <c r="E12" s="1" t="s">
        <v>103</v>
      </c>
    </row>
    <row r="13" ht="12.75">
      <c r="E13" s="1" t="s">
        <v>104</v>
      </c>
    </row>
    <row r="16" spans="1:2" ht="17.25">
      <c r="A16" s="26" t="s">
        <v>105</v>
      </c>
      <c r="B16" s="26"/>
    </row>
    <row r="17" spans="1:2" ht="15">
      <c r="A17" s="27" t="s">
        <v>122</v>
      </c>
      <c r="B17" s="27"/>
    </row>
    <row r="18" spans="1:2" ht="14.25">
      <c r="A18" s="28" t="s">
        <v>118</v>
      </c>
      <c r="B18" s="29"/>
    </row>
    <row r="19" spans="1:5" ht="13.5">
      <c r="A19" s="30" t="s">
        <v>1</v>
      </c>
      <c r="B19" s="30" t="s">
        <v>108</v>
      </c>
      <c r="C19" s="30" t="s">
        <v>109</v>
      </c>
      <c r="D19" s="30" t="s">
        <v>8</v>
      </c>
      <c r="E19" s="30" t="s">
        <v>110</v>
      </c>
    </row>
    <row r="20" spans="1:5" ht="12.75">
      <c r="A20" s="31" t="s">
        <v>360</v>
      </c>
      <c r="B20" s="1" t="s">
        <v>136</v>
      </c>
      <c r="C20" s="1" t="s">
        <v>134</v>
      </c>
      <c r="D20" s="1" t="s">
        <v>36</v>
      </c>
      <c r="E20" s="32" t="s">
        <v>363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8.50390625" style="33" customWidth="1"/>
    <col min="2" max="2" width="26.503906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28.50390625" style="35" customWidth="1"/>
    <col min="7" max="9" width="5.50390625" style="34" customWidth="1"/>
    <col min="10" max="10" width="4.50390625" style="34" customWidth="1"/>
    <col min="11" max="13" width="5.50390625" style="34" customWidth="1"/>
    <col min="14" max="14" width="4.50390625" style="34" customWidth="1"/>
    <col min="15" max="17" width="5.50390625" style="34" customWidth="1"/>
    <col min="18" max="18" width="4.50390625" style="34" customWidth="1"/>
    <col min="19" max="19" width="6.375" style="33" customWidth="1"/>
    <col min="20" max="20" width="8.50390625" style="34" customWidth="1"/>
    <col min="21" max="21" width="7.125" style="35" customWidth="1"/>
    <col min="22" max="16384" width="9.125" style="3" customWidth="1"/>
  </cols>
  <sheetData>
    <row r="1" spans="1:21" ht="15" customHeight="1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7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326</v>
      </c>
      <c r="H3" s="8"/>
      <c r="I3" s="8"/>
      <c r="J3" s="8"/>
      <c r="K3" s="8" t="s">
        <v>149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1" s="34" customFormat="1" ht="15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5"/>
    </row>
    <row r="6" spans="1:21" s="34" customFormat="1" ht="12.75">
      <c r="A6" s="37" t="s">
        <v>365</v>
      </c>
      <c r="B6" s="38" t="s">
        <v>366</v>
      </c>
      <c r="C6" s="38" t="s">
        <v>367</v>
      </c>
      <c r="D6" s="38">
        <f>"0,6835"</f>
        <v>0</v>
      </c>
      <c r="E6" s="39" t="s">
        <v>25</v>
      </c>
      <c r="F6" s="39" t="s">
        <v>47</v>
      </c>
      <c r="G6" s="40" t="s">
        <v>171</v>
      </c>
      <c r="H6" s="40" t="s">
        <v>171</v>
      </c>
      <c r="I6" s="38" t="s">
        <v>28</v>
      </c>
      <c r="J6" s="40"/>
      <c r="K6" s="38" t="s">
        <v>20</v>
      </c>
      <c r="L6" s="40" t="s">
        <v>159</v>
      </c>
      <c r="M6" s="40" t="s">
        <v>159</v>
      </c>
      <c r="N6" s="40"/>
      <c r="O6" s="38" t="s">
        <v>28</v>
      </c>
      <c r="P6" s="38" t="s">
        <v>339</v>
      </c>
      <c r="Q6" s="38" t="s">
        <v>191</v>
      </c>
      <c r="R6" s="40"/>
      <c r="S6" s="37">
        <v>250</v>
      </c>
      <c r="T6" s="38">
        <f>"170,8750"</f>
        <v>0</v>
      </c>
      <c r="U6" s="39"/>
    </row>
    <row r="7" spans="1:21" s="34" customFormat="1" ht="12.75">
      <c r="A7" s="41" t="s">
        <v>368</v>
      </c>
      <c r="B7" s="42" t="s">
        <v>369</v>
      </c>
      <c r="C7" s="42" t="s">
        <v>370</v>
      </c>
      <c r="D7" s="42">
        <f>"0,7764"</f>
        <v>0</v>
      </c>
      <c r="E7" s="43" t="s">
        <v>25</v>
      </c>
      <c r="F7" s="43" t="s">
        <v>47</v>
      </c>
      <c r="G7" s="42" t="s">
        <v>28</v>
      </c>
      <c r="H7" s="42" t="s">
        <v>42</v>
      </c>
      <c r="I7" s="42" t="s">
        <v>339</v>
      </c>
      <c r="J7" s="44"/>
      <c r="K7" s="42" t="s">
        <v>20</v>
      </c>
      <c r="L7" s="42" t="s">
        <v>166</v>
      </c>
      <c r="M7" s="44" t="s">
        <v>27</v>
      </c>
      <c r="N7" s="44"/>
      <c r="O7" s="42" t="s">
        <v>28</v>
      </c>
      <c r="P7" s="42" t="s">
        <v>180</v>
      </c>
      <c r="Q7" s="42" t="s">
        <v>198</v>
      </c>
      <c r="R7" s="44"/>
      <c r="S7" s="41">
        <v>275</v>
      </c>
      <c r="T7" s="42">
        <f>"213,5133"</f>
        <v>0</v>
      </c>
      <c r="U7" s="43"/>
    </row>
    <row r="9" spans="1:20" ht="15">
      <c r="A9" s="45" t="s">
        <v>63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1" ht="12.75">
      <c r="A10" s="37" t="s">
        <v>371</v>
      </c>
      <c r="B10" s="38" t="s">
        <v>372</v>
      </c>
      <c r="C10" s="38" t="s">
        <v>373</v>
      </c>
      <c r="D10" s="38">
        <f>"0,5613"</f>
        <v>0</v>
      </c>
      <c r="E10" s="39" t="s">
        <v>262</v>
      </c>
      <c r="F10" s="39" t="s">
        <v>263</v>
      </c>
      <c r="G10" s="40" t="s">
        <v>374</v>
      </c>
      <c r="H10" s="38" t="s">
        <v>374</v>
      </c>
      <c r="I10" s="38" t="s">
        <v>87</v>
      </c>
      <c r="J10" s="40"/>
      <c r="K10" s="38" t="s">
        <v>49</v>
      </c>
      <c r="L10" s="38" t="s">
        <v>68</v>
      </c>
      <c r="M10" s="40" t="s">
        <v>257</v>
      </c>
      <c r="N10" s="40"/>
      <c r="O10" s="38" t="s">
        <v>87</v>
      </c>
      <c r="P10" s="38" t="s">
        <v>375</v>
      </c>
      <c r="Q10" s="38" t="s">
        <v>88</v>
      </c>
      <c r="R10" s="40"/>
      <c r="S10" s="37">
        <v>715</v>
      </c>
      <c r="T10" s="38">
        <f>"401,3295"</f>
        <v>0</v>
      </c>
      <c r="U10" s="39"/>
    </row>
    <row r="11" spans="1:21" ht="12.75">
      <c r="A11" s="41" t="s">
        <v>376</v>
      </c>
      <c r="B11" s="42" t="s">
        <v>377</v>
      </c>
      <c r="C11" s="42" t="s">
        <v>378</v>
      </c>
      <c r="D11" s="42">
        <f>"0,5636"</f>
        <v>0</v>
      </c>
      <c r="E11" s="43" t="s">
        <v>25</v>
      </c>
      <c r="F11" s="43" t="s">
        <v>379</v>
      </c>
      <c r="G11" s="42" t="s">
        <v>264</v>
      </c>
      <c r="H11" s="42" t="s">
        <v>55</v>
      </c>
      <c r="I11" s="44" t="s">
        <v>95</v>
      </c>
      <c r="J11" s="44"/>
      <c r="K11" s="42" t="s">
        <v>61</v>
      </c>
      <c r="L11" s="42" t="s">
        <v>62</v>
      </c>
      <c r="M11" s="42" t="s">
        <v>49</v>
      </c>
      <c r="N11" s="44"/>
      <c r="O11" s="42" t="s">
        <v>86</v>
      </c>
      <c r="P11" s="42" t="s">
        <v>87</v>
      </c>
      <c r="Q11" s="44" t="s">
        <v>380</v>
      </c>
      <c r="R11" s="44"/>
      <c r="S11" s="41">
        <v>645</v>
      </c>
      <c r="T11" s="42">
        <f>"363,5220"</f>
        <v>0</v>
      </c>
      <c r="U11" s="43"/>
    </row>
    <row r="13" spans="1:20" ht="15">
      <c r="A13" s="45" t="s">
        <v>82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1" ht="12.75">
      <c r="A14" s="46" t="s">
        <v>381</v>
      </c>
      <c r="B14" s="47" t="s">
        <v>382</v>
      </c>
      <c r="C14" s="47" t="s">
        <v>383</v>
      </c>
      <c r="D14" s="47">
        <f>"0,5414"</f>
        <v>0</v>
      </c>
      <c r="E14" s="48" t="s">
        <v>25</v>
      </c>
      <c r="F14" s="48" t="s">
        <v>78</v>
      </c>
      <c r="G14" s="47" t="s">
        <v>384</v>
      </c>
      <c r="H14" s="47" t="s">
        <v>385</v>
      </c>
      <c r="I14" s="47" t="s">
        <v>386</v>
      </c>
      <c r="J14" s="49"/>
      <c r="K14" s="47" t="s">
        <v>48</v>
      </c>
      <c r="L14" s="47" t="s">
        <v>49</v>
      </c>
      <c r="M14" s="49" t="s">
        <v>68</v>
      </c>
      <c r="N14" s="49"/>
      <c r="O14" s="47" t="s">
        <v>385</v>
      </c>
      <c r="P14" s="47" t="s">
        <v>386</v>
      </c>
      <c r="Q14" s="49" t="s">
        <v>387</v>
      </c>
      <c r="R14" s="49"/>
      <c r="S14" s="46">
        <v>790</v>
      </c>
      <c r="T14" s="47">
        <f>"427,7060"</f>
        <v>0</v>
      </c>
      <c r="U14" s="48"/>
    </row>
    <row r="16" ht="15">
      <c r="E16" s="50" t="s">
        <v>99</v>
      </c>
    </row>
    <row r="17" ht="15">
      <c r="E17" s="50" t="s">
        <v>100</v>
      </c>
    </row>
    <row r="18" ht="15">
      <c r="E18" s="50" t="s">
        <v>101</v>
      </c>
    </row>
    <row r="19" ht="12.75">
      <c r="E19" s="35" t="s">
        <v>102</v>
      </c>
    </row>
    <row r="20" ht="12.75">
      <c r="E20" s="35" t="s">
        <v>103</v>
      </c>
    </row>
    <row r="21" ht="12.75">
      <c r="E21" s="35" t="s">
        <v>104</v>
      </c>
    </row>
    <row r="24" spans="1:2" ht="17.25">
      <c r="A24" s="51" t="s">
        <v>105</v>
      </c>
      <c r="B24" s="52"/>
    </row>
    <row r="25" spans="1:2" ht="15">
      <c r="A25" s="53" t="s">
        <v>122</v>
      </c>
      <c r="B25" s="54"/>
    </row>
    <row r="26" spans="1:2" ht="14.25">
      <c r="A26" s="55" t="s">
        <v>127</v>
      </c>
      <c r="B26" s="56"/>
    </row>
    <row r="27" spans="1:5" ht="13.5">
      <c r="A27" s="57" t="s">
        <v>1</v>
      </c>
      <c r="B27" s="57" t="s">
        <v>108</v>
      </c>
      <c r="C27" s="57" t="s">
        <v>109</v>
      </c>
      <c r="D27" s="57" t="s">
        <v>8</v>
      </c>
      <c r="E27" s="57" t="s">
        <v>110</v>
      </c>
    </row>
    <row r="28" spans="1:5" ht="12.75">
      <c r="A28" s="58" t="s">
        <v>381</v>
      </c>
      <c r="B28" s="34" t="s">
        <v>127</v>
      </c>
      <c r="C28" s="34" t="s">
        <v>128</v>
      </c>
      <c r="D28" s="34" t="s">
        <v>388</v>
      </c>
      <c r="E28" s="33" t="s">
        <v>389</v>
      </c>
    </row>
    <row r="29" spans="1:5" ht="12.75">
      <c r="A29" s="58" t="s">
        <v>371</v>
      </c>
      <c r="B29" s="34" t="s">
        <v>127</v>
      </c>
      <c r="C29" s="34" t="s">
        <v>132</v>
      </c>
      <c r="D29" s="34" t="s">
        <v>390</v>
      </c>
      <c r="E29" s="33" t="s">
        <v>391</v>
      </c>
    </row>
    <row r="30" spans="1:5" ht="12.75">
      <c r="A30" s="58" t="s">
        <v>376</v>
      </c>
      <c r="B30" s="34" t="s">
        <v>127</v>
      </c>
      <c r="C30" s="34" t="s">
        <v>132</v>
      </c>
      <c r="D30" s="34" t="s">
        <v>392</v>
      </c>
      <c r="E30" s="33" t="s">
        <v>393</v>
      </c>
    </row>
    <row r="31" spans="1:5" ht="12.75">
      <c r="A31" s="58" t="s">
        <v>365</v>
      </c>
      <c r="B31" s="34" t="s">
        <v>127</v>
      </c>
      <c r="C31" s="34" t="s">
        <v>125</v>
      </c>
      <c r="D31" s="34" t="s">
        <v>374</v>
      </c>
      <c r="E31" s="33" t="s">
        <v>394</v>
      </c>
    </row>
    <row r="33" spans="1:2" ht="14.25">
      <c r="A33" s="55" t="s">
        <v>118</v>
      </c>
      <c r="B33" s="56"/>
    </row>
    <row r="34" spans="1:5" ht="13.5">
      <c r="A34" s="57" t="s">
        <v>1</v>
      </c>
      <c r="B34" s="57" t="s">
        <v>108</v>
      </c>
      <c r="C34" s="57" t="s">
        <v>109</v>
      </c>
      <c r="D34" s="57" t="s">
        <v>8</v>
      </c>
      <c r="E34" s="57" t="s">
        <v>110</v>
      </c>
    </row>
    <row r="35" spans="1:5" ht="12.75">
      <c r="A35" s="58" t="s">
        <v>368</v>
      </c>
      <c r="B35" s="34" t="s">
        <v>138</v>
      </c>
      <c r="C35" s="34" t="s">
        <v>125</v>
      </c>
      <c r="D35" s="34" t="s">
        <v>88</v>
      </c>
      <c r="E35" s="33" t="s">
        <v>395</v>
      </c>
    </row>
  </sheetData>
  <sheetProtection selectLockedCells="1" selectUnlockedCells="1"/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  <mergeCell ref="A13:T13"/>
  </mergeCells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8.50390625" style="33" customWidth="1"/>
    <col min="2" max="2" width="26.503906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31.50390625" style="35" customWidth="1"/>
    <col min="7" max="9" width="5.50390625" style="34" customWidth="1"/>
    <col min="10" max="10" width="4.50390625" style="34" customWidth="1"/>
    <col min="11" max="11" width="6.375" style="33" customWidth="1"/>
    <col min="12" max="12" width="8.50390625" style="34" customWidth="1"/>
    <col min="13" max="13" width="14.50390625" style="35" customWidth="1"/>
    <col min="14" max="16384" width="9.125" style="3" customWidth="1"/>
  </cols>
  <sheetData>
    <row r="1" spans="1:13" ht="15" customHeight="1">
      <c r="A1" s="2" t="s">
        <v>396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149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3" s="34" customFormat="1" ht="15">
      <c r="A5" s="36" t="s">
        <v>155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</row>
    <row r="6" spans="1:13" s="34" customFormat="1" ht="12.75">
      <c r="A6" s="46" t="s">
        <v>160</v>
      </c>
      <c r="B6" s="47" t="s">
        <v>161</v>
      </c>
      <c r="C6" s="47" t="s">
        <v>397</v>
      </c>
      <c r="D6" s="47">
        <f>"1,0622"</f>
        <v>0</v>
      </c>
      <c r="E6" s="48" t="s">
        <v>78</v>
      </c>
      <c r="F6" s="48" t="s">
        <v>163</v>
      </c>
      <c r="G6" s="47" t="s">
        <v>398</v>
      </c>
      <c r="H6" s="47" t="s">
        <v>399</v>
      </c>
      <c r="I6" s="47" t="s">
        <v>42</v>
      </c>
      <c r="J6" s="49"/>
      <c r="K6" s="46">
        <v>87.5</v>
      </c>
      <c r="L6" s="47">
        <f>"92,9425"</f>
        <v>0</v>
      </c>
      <c r="M6" s="48"/>
    </row>
    <row r="7" spans="1:13" s="34" customFormat="1" ht="12.75">
      <c r="A7" s="33"/>
      <c r="E7" s="35"/>
      <c r="F7" s="35"/>
      <c r="K7" s="33"/>
      <c r="M7" s="35"/>
    </row>
    <row r="8" spans="1:12" ht="15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46" t="s">
        <v>400</v>
      </c>
      <c r="B9" s="47" t="s">
        <v>401</v>
      </c>
      <c r="C9" s="47" t="s">
        <v>402</v>
      </c>
      <c r="D9" s="47">
        <f>"1,0440"</f>
        <v>0</v>
      </c>
      <c r="E9" s="48" t="s">
        <v>25</v>
      </c>
      <c r="F9" s="48" t="s">
        <v>47</v>
      </c>
      <c r="G9" s="47" t="s">
        <v>198</v>
      </c>
      <c r="H9" s="47" t="s">
        <v>35</v>
      </c>
      <c r="I9" s="47" t="s">
        <v>403</v>
      </c>
      <c r="J9" s="49"/>
      <c r="K9" s="46">
        <v>122.5</v>
      </c>
      <c r="L9" s="47">
        <f>"127,8899"</f>
        <v>0</v>
      </c>
      <c r="M9" s="48"/>
    </row>
    <row r="11" spans="1:12" ht="15">
      <c r="A11" s="45" t="s">
        <v>43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12.75">
      <c r="A12" s="46" t="s">
        <v>404</v>
      </c>
      <c r="B12" s="47" t="s">
        <v>405</v>
      </c>
      <c r="C12" s="47" t="s">
        <v>406</v>
      </c>
      <c r="D12" s="47">
        <f>"0,8662"</f>
        <v>0</v>
      </c>
      <c r="E12" s="48" t="s">
        <v>25</v>
      </c>
      <c r="F12" s="48" t="s">
        <v>184</v>
      </c>
      <c r="G12" s="47" t="s">
        <v>330</v>
      </c>
      <c r="H12" s="47" t="s">
        <v>221</v>
      </c>
      <c r="I12" s="49" t="s">
        <v>407</v>
      </c>
      <c r="J12" s="49"/>
      <c r="K12" s="46">
        <v>127.5</v>
      </c>
      <c r="L12" s="47">
        <f>"110,4405"</f>
        <v>0</v>
      </c>
      <c r="M12" s="48" t="s">
        <v>185</v>
      </c>
    </row>
    <row r="14" spans="1:12" ht="15">
      <c r="A14" s="45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3" ht="12.75">
      <c r="A15" s="37" t="s">
        <v>408</v>
      </c>
      <c r="B15" s="38" t="s">
        <v>409</v>
      </c>
      <c r="C15" s="38" t="s">
        <v>410</v>
      </c>
      <c r="D15" s="38">
        <f>"0,5833"</f>
        <v>0</v>
      </c>
      <c r="E15" s="39" t="s">
        <v>25</v>
      </c>
      <c r="F15" s="39" t="s">
        <v>47</v>
      </c>
      <c r="G15" s="38" t="s">
        <v>258</v>
      </c>
      <c r="H15" s="38" t="s">
        <v>55</v>
      </c>
      <c r="I15" s="38" t="s">
        <v>411</v>
      </c>
      <c r="J15" s="40"/>
      <c r="K15" s="37">
        <v>230</v>
      </c>
      <c r="L15" s="38">
        <f>"134,1590"</f>
        <v>0</v>
      </c>
      <c r="M15" s="39"/>
    </row>
    <row r="16" spans="1:13" ht="12.75">
      <c r="A16" s="41" t="s">
        <v>412</v>
      </c>
      <c r="B16" s="42" t="s">
        <v>413</v>
      </c>
      <c r="C16" s="42" t="s">
        <v>414</v>
      </c>
      <c r="D16" s="42">
        <f>"0,6608"</f>
        <v>0</v>
      </c>
      <c r="E16" s="43" t="s">
        <v>25</v>
      </c>
      <c r="F16" s="43" t="s">
        <v>163</v>
      </c>
      <c r="G16" s="42" t="s">
        <v>70</v>
      </c>
      <c r="H16" s="42" t="s">
        <v>74</v>
      </c>
      <c r="I16" s="42" t="s">
        <v>411</v>
      </c>
      <c r="J16" s="44"/>
      <c r="K16" s="41">
        <v>230</v>
      </c>
      <c r="L16" s="42">
        <f>"151,9941"</f>
        <v>0</v>
      </c>
      <c r="M16" s="43"/>
    </row>
    <row r="18" spans="1:12" ht="15">
      <c r="A18" s="45" t="s">
        <v>89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3" ht="12.75">
      <c r="A19" s="46" t="s">
        <v>415</v>
      </c>
      <c r="B19" s="47" t="s">
        <v>416</v>
      </c>
      <c r="C19" s="47" t="s">
        <v>417</v>
      </c>
      <c r="D19" s="47">
        <f>"0,5567"</f>
        <v>0</v>
      </c>
      <c r="E19" s="48" t="s">
        <v>25</v>
      </c>
      <c r="F19" s="48" t="s">
        <v>47</v>
      </c>
      <c r="G19" s="47" t="s">
        <v>258</v>
      </c>
      <c r="H19" s="47" t="s">
        <v>70</v>
      </c>
      <c r="I19" s="49" t="s">
        <v>411</v>
      </c>
      <c r="J19" s="49"/>
      <c r="K19" s="46">
        <v>210</v>
      </c>
      <c r="L19" s="47">
        <f>"116,8997"</f>
        <v>0</v>
      </c>
      <c r="M19" s="48"/>
    </row>
    <row r="21" ht="15">
      <c r="E21" s="50" t="s">
        <v>99</v>
      </c>
    </row>
    <row r="22" ht="15">
      <c r="E22" s="50" t="s">
        <v>100</v>
      </c>
    </row>
    <row r="23" ht="15">
      <c r="E23" s="50" t="s">
        <v>101</v>
      </c>
    </row>
    <row r="24" ht="12.75">
      <c r="E24" s="35" t="s">
        <v>102</v>
      </c>
    </row>
    <row r="25" ht="12.75">
      <c r="E25" s="35" t="s">
        <v>103</v>
      </c>
    </row>
    <row r="26" ht="12.75">
      <c r="E26" s="35" t="s">
        <v>104</v>
      </c>
    </row>
    <row r="29" spans="1:2" ht="17.25">
      <c r="A29" s="51" t="s">
        <v>105</v>
      </c>
      <c r="B29" s="52"/>
    </row>
    <row r="30" spans="1:2" ht="15">
      <c r="A30" s="53" t="s">
        <v>106</v>
      </c>
      <c r="B30" s="54"/>
    </row>
    <row r="31" spans="1:2" ht="14.25">
      <c r="A31" s="55" t="s">
        <v>127</v>
      </c>
      <c r="B31" s="56"/>
    </row>
    <row r="32" spans="1:5" ht="13.5">
      <c r="A32" s="57" t="s">
        <v>1</v>
      </c>
      <c r="B32" s="57" t="s">
        <v>108</v>
      </c>
      <c r="C32" s="57" t="s">
        <v>109</v>
      </c>
      <c r="D32" s="57" t="s">
        <v>8</v>
      </c>
      <c r="E32" s="57" t="s">
        <v>110</v>
      </c>
    </row>
    <row r="33" spans="1:5" ht="12.75">
      <c r="A33" s="58" t="s">
        <v>404</v>
      </c>
      <c r="B33" s="34" t="s">
        <v>127</v>
      </c>
      <c r="C33" s="34" t="s">
        <v>125</v>
      </c>
      <c r="D33" s="34" t="s">
        <v>221</v>
      </c>
      <c r="E33" s="33" t="s">
        <v>418</v>
      </c>
    </row>
    <row r="34" spans="1:5" ht="12.75">
      <c r="A34" s="58" t="s">
        <v>160</v>
      </c>
      <c r="B34" s="34" t="s">
        <v>127</v>
      </c>
      <c r="C34" s="34" t="s">
        <v>290</v>
      </c>
      <c r="D34" s="34" t="s">
        <v>42</v>
      </c>
      <c r="E34" s="33" t="s">
        <v>419</v>
      </c>
    </row>
    <row r="36" spans="1:2" ht="14.25">
      <c r="A36" s="55" t="s">
        <v>118</v>
      </c>
      <c r="B36" s="56"/>
    </row>
    <row r="37" spans="1:5" ht="13.5">
      <c r="A37" s="57" t="s">
        <v>1</v>
      </c>
      <c r="B37" s="57" t="s">
        <v>108</v>
      </c>
      <c r="C37" s="57" t="s">
        <v>109</v>
      </c>
      <c r="D37" s="57" t="s">
        <v>8</v>
      </c>
      <c r="E37" s="57" t="s">
        <v>110</v>
      </c>
    </row>
    <row r="38" spans="1:5" ht="12.75">
      <c r="A38" s="58" t="s">
        <v>400</v>
      </c>
      <c r="B38" s="34" t="s">
        <v>136</v>
      </c>
      <c r="C38" s="34" t="s">
        <v>116</v>
      </c>
      <c r="D38" s="34" t="s">
        <v>403</v>
      </c>
      <c r="E38" s="33" t="s">
        <v>420</v>
      </c>
    </row>
    <row r="41" spans="1:2" ht="15">
      <c r="A41" s="53" t="s">
        <v>122</v>
      </c>
      <c r="B41" s="54"/>
    </row>
    <row r="42" spans="1:2" ht="14.25">
      <c r="A42" s="55" t="s">
        <v>127</v>
      </c>
      <c r="B42" s="56"/>
    </row>
    <row r="43" spans="1:5" ht="13.5">
      <c r="A43" s="57" t="s">
        <v>1</v>
      </c>
      <c r="B43" s="57" t="s">
        <v>108</v>
      </c>
      <c r="C43" s="57" t="s">
        <v>109</v>
      </c>
      <c r="D43" s="57" t="s">
        <v>8</v>
      </c>
      <c r="E43" s="57" t="s">
        <v>110</v>
      </c>
    </row>
    <row r="44" spans="1:5" ht="12.75">
      <c r="A44" s="58" t="s">
        <v>408</v>
      </c>
      <c r="B44" s="34" t="s">
        <v>127</v>
      </c>
      <c r="C44" s="34" t="s">
        <v>132</v>
      </c>
      <c r="D44" s="34" t="s">
        <v>411</v>
      </c>
      <c r="E44" s="33" t="s">
        <v>421</v>
      </c>
    </row>
    <row r="46" spans="1:2" ht="14.25">
      <c r="A46" s="55" t="s">
        <v>118</v>
      </c>
      <c r="B46" s="56"/>
    </row>
    <row r="47" spans="1:5" ht="13.5">
      <c r="A47" s="57" t="s">
        <v>1</v>
      </c>
      <c r="B47" s="57" t="s">
        <v>108</v>
      </c>
      <c r="C47" s="57" t="s">
        <v>109</v>
      </c>
      <c r="D47" s="57" t="s">
        <v>8</v>
      </c>
      <c r="E47" s="57" t="s">
        <v>110</v>
      </c>
    </row>
    <row r="48" spans="1:5" ht="12.75">
      <c r="A48" s="58" t="s">
        <v>412</v>
      </c>
      <c r="B48" s="34" t="s">
        <v>138</v>
      </c>
      <c r="C48" s="34" t="s">
        <v>132</v>
      </c>
      <c r="D48" s="34" t="s">
        <v>411</v>
      </c>
      <c r="E48" s="33" t="s">
        <v>422</v>
      </c>
    </row>
    <row r="49" spans="1:5" ht="12.75">
      <c r="A49" s="58" t="s">
        <v>415</v>
      </c>
      <c r="B49" s="34" t="s">
        <v>119</v>
      </c>
      <c r="C49" s="34" t="s">
        <v>130</v>
      </c>
      <c r="D49" s="34" t="s">
        <v>70</v>
      </c>
      <c r="E49" s="33" t="s">
        <v>423</v>
      </c>
    </row>
  </sheetData>
  <sheetProtection selectLockedCells="1" selectUnlockedCells="1"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8:L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="110" zoomScaleNormal="110" workbookViewId="0" topLeftCell="A1">
      <selection activeCell="E18" sqref="E1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2.25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424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149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425</v>
      </c>
      <c r="B6" s="16" t="s">
        <v>426</v>
      </c>
      <c r="C6" s="16" t="s">
        <v>427</v>
      </c>
      <c r="D6" s="16">
        <f>"0,6213"</f>
        <v>0</v>
      </c>
      <c r="E6" s="16" t="s">
        <v>25</v>
      </c>
      <c r="F6" s="16" t="s">
        <v>189</v>
      </c>
      <c r="G6" s="16" t="s">
        <v>95</v>
      </c>
      <c r="H6" s="17" t="s">
        <v>428</v>
      </c>
      <c r="I6" s="16" t="s">
        <v>429</v>
      </c>
      <c r="J6" s="17"/>
      <c r="K6" s="16">
        <v>252.5</v>
      </c>
      <c r="L6" s="16">
        <f>"156,8909"</f>
        <v>0</v>
      </c>
      <c r="M6" s="16"/>
    </row>
    <row r="8" spans="1:12" ht="15">
      <c r="A8" s="18" t="s">
        <v>89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2.75">
      <c r="A9" s="19" t="s">
        <v>430</v>
      </c>
      <c r="B9" s="19" t="s">
        <v>431</v>
      </c>
      <c r="C9" s="19" t="s">
        <v>432</v>
      </c>
      <c r="D9" s="19">
        <f>"0,5556"</f>
        <v>0</v>
      </c>
      <c r="E9" s="19" t="s">
        <v>25</v>
      </c>
      <c r="F9" s="19" t="s">
        <v>215</v>
      </c>
      <c r="G9" s="19" t="s">
        <v>433</v>
      </c>
      <c r="H9" s="19" t="s">
        <v>386</v>
      </c>
      <c r="I9" s="20" t="s">
        <v>434</v>
      </c>
      <c r="J9" s="20"/>
      <c r="K9" s="19">
        <v>310</v>
      </c>
      <c r="L9" s="19">
        <f>"172,2360"</f>
        <v>0</v>
      </c>
      <c r="M9" s="19"/>
    </row>
    <row r="10" spans="1:13" ht="12.75">
      <c r="A10" s="21" t="s">
        <v>435</v>
      </c>
      <c r="B10" s="21" t="s">
        <v>436</v>
      </c>
      <c r="C10" s="21" t="s">
        <v>437</v>
      </c>
      <c r="D10" s="21">
        <f>"0,5607"</f>
        <v>0</v>
      </c>
      <c r="E10" s="21" t="s">
        <v>25</v>
      </c>
      <c r="F10" s="21" t="s">
        <v>34</v>
      </c>
      <c r="G10" s="21" t="s">
        <v>385</v>
      </c>
      <c r="H10" s="22" t="s">
        <v>433</v>
      </c>
      <c r="I10" s="22" t="s">
        <v>351</v>
      </c>
      <c r="J10" s="22"/>
      <c r="K10" s="21">
        <v>290</v>
      </c>
      <c r="L10" s="21">
        <f>"162,6030"</f>
        <v>0</v>
      </c>
      <c r="M10" s="21"/>
    </row>
    <row r="11" spans="1:13" ht="12.75">
      <c r="A11" s="23" t="s">
        <v>438</v>
      </c>
      <c r="B11" s="23" t="s">
        <v>439</v>
      </c>
      <c r="C11" s="23" t="s">
        <v>440</v>
      </c>
      <c r="D11" s="23">
        <f>"0,6058"</f>
        <v>0</v>
      </c>
      <c r="E11" s="23" t="s">
        <v>25</v>
      </c>
      <c r="F11" s="23" t="s">
        <v>441</v>
      </c>
      <c r="G11" s="23" t="s">
        <v>433</v>
      </c>
      <c r="H11" s="23" t="s">
        <v>387</v>
      </c>
      <c r="I11" s="23" t="s">
        <v>434</v>
      </c>
      <c r="J11" s="24"/>
      <c r="K11" s="23">
        <v>327.5</v>
      </c>
      <c r="L11" s="23">
        <f>"198,4034"</f>
        <v>0</v>
      </c>
      <c r="M11" s="23"/>
    </row>
    <row r="13" ht="15">
      <c r="E13" s="25" t="s">
        <v>99</v>
      </c>
    </row>
    <row r="14" ht="15">
      <c r="E14" s="25" t="s">
        <v>100</v>
      </c>
    </row>
    <row r="15" ht="15">
      <c r="E15" s="25" t="s">
        <v>101</v>
      </c>
    </row>
    <row r="16" ht="12.75">
      <c r="E16" s="1" t="s">
        <v>102</v>
      </c>
    </row>
    <row r="17" ht="12.75">
      <c r="E17" s="1" t="s">
        <v>103</v>
      </c>
    </row>
    <row r="18" ht="12.75">
      <c r="E18" s="1" t="s">
        <v>104</v>
      </c>
    </row>
    <row r="21" spans="1:2" ht="17.25">
      <c r="A21" s="26" t="s">
        <v>105</v>
      </c>
      <c r="B21" s="26"/>
    </row>
    <row r="22" spans="1:2" ht="15">
      <c r="A22" s="27" t="s">
        <v>122</v>
      </c>
      <c r="B22" s="27"/>
    </row>
    <row r="23" spans="1:2" ht="14.25">
      <c r="A23" s="28" t="s">
        <v>127</v>
      </c>
      <c r="B23" s="29"/>
    </row>
    <row r="24" spans="1:5" ht="13.5">
      <c r="A24" s="30" t="s">
        <v>1</v>
      </c>
      <c r="B24" s="30" t="s">
        <v>108</v>
      </c>
      <c r="C24" s="30" t="s">
        <v>109</v>
      </c>
      <c r="D24" s="30" t="s">
        <v>8</v>
      </c>
      <c r="E24" s="30" t="s">
        <v>110</v>
      </c>
    </row>
    <row r="25" spans="1:5" ht="12.75">
      <c r="A25" s="31" t="s">
        <v>430</v>
      </c>
      <c r="B25" s="1" t="s">
        <v>127</v>
      </c>
      <c r="C25" s="1" t="s">
        <v>130</v>
      </c>
      <c r="D25" s="1" t="s">
        <v>386</v>
      </c>
      <c r="E25" s="32" t="s">
        <v>442</v>
      </c>
    </row>
    <row r="26" spans="1:5" ht="12.75">
      <c r="A26" s="31" t="s">
        <v>435</v>
      </c>
      <c r="B26" s="1" t="s">
        <v>127</v>
      </c>
      <c r="C26" s="1" t="s">
        <v>130</v>
      </c>
      <c r="D26" s="1" t="s">
        <v>385</v>
      </c>
      <c r="E26" s="32" t="s">
        <v>443</v>
      </c>
    </row>
    <row r="27" spans="1:5" ht="12.75">
      <c r="A27" s="31" t="s">
        <v>425</v>
      </c>
      <c r="B27" s="1" t="s">
        <v>127</v>
      </c>
      <c r="C27" s="1" t="s">
        <v>134</v>
      </c>
      <c r="D27" s="1" t="s">
        <v>429</v>
      </c>
      <c r="E27" s="32" t="s">
        <v>444</v>
      </c>
    </row>
    <row r="29" spans="1:2" ht="14.25">
      <c r="A29" s="28" t="s">
        <v>118</v>
      </c>
      <c r="B29" s="29"/>
    </row>
    <row r="30" spans="1:5" ht="13.5">
      <c r="A30" s="30" t="s">
        <v>1</v>
      </c>
      <c r="B30" s="30" t="s">
        <v>108</v>
      </c>
      <c r="C30" s="30" t="s">
        <v>109</v>
      </c>
      <c r="D30" s="30" t="s">
        <v>8</v>
      </c>
      <c r="E30" s="30" t="s">
        <v>110</v>
      </c>
    </row>
    <row r="31" spans="1:5" ht="12.75">
      <c r="A31" s="31" t="s">
        <v>438</v>
      </c>
      <c r="B31" s="1" t="s">
        <v>138</v>
      </c>
      <c r="C31" s="1" t="s">
        <v>130</v>
      </c>
      <c r="D31" s="1" t="s">
        <v>434</v>
      </c>
      <c r="E31" s="32" t="s">
        <v>445</v>
      </c>
    </row>
  </sheetData>
  <sheetProtection selectLockedCells="1" selectUnlockedCells="1"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workbookViewId="0" topLeftCell="A1">
      <selection activeCell="F18" sqref="F18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8.6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50390625" style="1" customWidth="1"/>
    <col min="12" max="12" width="9.50390625" style="1" customWidth="1"/>
    <col min="13" max="13" width="7.125" style="1" customWidth="1"/>
  </cols>
  <sheetData>
    <row r="1" spans="1:13" s="3" customFormat="1" ht="15" customHeight="1">
      <c r="A1" s="2" t="s">
        <v>446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7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447</v>
      </c>
      <c r="C3" s="5" t="s">
        <v>3</v>
      </c>
      <c r="D3" s="6" t="s">
        <v>4</v>
      </c>
      <c r="E3" s="6" t="s">
        <v>5</v>
      </c>
      <c r="F3" s="7" t="s">
        <v>6</v>
      </c>
      <c r="G3" s="59" t="s">
        <v>149</v>
      </c>
      <c r="H3" s="59"/>
      <c r="I3" s="59"/>
      <c r="J3" s="59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448</v>
      </c>
      <c r="H4" s="13" t="s">
        <v>449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450</v>
      </c>
      <c r="B6" s="16" t="s">
        <v>451</v>
      </c>
      <c r="C6" s="16" t="s">
        <v>452</v>
      </c>
      <c r="D6" s="16">
        <f>"0,7086"</f>
        <v>0</v>
      </c>
      <c r="E6" s="16" t="s">
        <v>25</v>
      </c>
      <c r="F6" s="16" t="s">
        <v>453</v>
      </c>
      <c r="G6" s="16" t="s">
        <v>170</v>
      </c>
      <c r="H6" s="16" t="s">
        <v>454</v>
      </c>
      <c r="I6" s="17"/>
      <c r="J6" s="17"/>
      <c r="K6" s="16">
        <v>2972.5</v>
      </c>
      <c r="L6" s="16">
        <f>"2106,4621"</f>
        <v>0</v>
      </c>
      <c r="M6" s="16"/>
    </row>
    <row r="8" spans="1:12" ht="15">
      <c r="A8" s="18" t="s">
        <v>51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14.25">
      <c r="A9" s="19" t="s">
        <v>455</v>
      </c>
      <c r="B9" s="19" t="s">
        <v>456</v>
      </c>
      <c r="C9" s="19" t="s">
        <v>457</v>
      </c>
      <c r="D9" s="19">
        <f>"0,6825"</f>
        <v>0</v>
      </c>
      <c r="E9" s="19" t="s">
        <v>25</v>
      </c>
      <c r="F9" s="19" t="s">
        <v>458</v>
      </c>
      <c r="G9" s="19" t="s">
        <v>171</v>
      </c>
      <c r="H9" s="19" t="s">
        <v>459</v>
      </c>
      <c r="I9" s="20"/>
      <c r="J9" s="20"/>
      <c r="K9" s="19">
        <v>2945</v>
      </c>
      <c r="L9" s="19">
        <f>"2009,9625"</f>
        <v>0</v>
      </c>
      <c r="M9" s="19"/>
    </row>
    <row r="10" spans="1:13" ht="12.75">
      <c r="A10" s="23" t="s">
        <v>460</v>
      </c>
      <c r="B10" s="23" t="s">
        <v>461</v>
      </c>
      <c r="C10" s="23" t="s">
        <v>462</v>
      </c>
      <c r="D10" s="23">
        <f>"0,6477"</f>
        <v>0</v>
      </c>
      <c r="E10" s="23" t="s">
        <v>25</v>
      </c>
      <c r="F10" s="23" t="s">
        <v>47</v>
      </c>
      <c r="G10" s="23" t="s">
        <v>399</v>
      </c>
      <c r="H10" s="23" t="s">
        <v>463</v>
      </c>
      <c r="I10" s="24"/>
      <c r="J10" s="24"/>
      <c r="K10" s="23">
        <v>2640</v>
      </c>
      <c r="L10" s="23">
        <f>"1709,7960"</f>
        <v>0</v>
      </c>
      <c r="M10" s="23"/>
    </row>
    <row r="12" spans="1:12" ht="15">
      <c r="A12" s="18" t="s">
        <v>56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3" ht="12.75">
      <c r="A13" s="19" t="s">
        <v>464</v>
      </c>
      <c r="B13" s="19" t="s">
        <v>465</v>
      </c>
      <c r="C13" s="19" t="s">
        <v>362</v>
      </c>
      <c r="D13" s="19">
        <f>"0,6263"</f>
        <v>0</v>
      </c>
      <c r="E13" s="19" t="s">
        <v>25</v>
      </c>
      <c r="F13" s="19" t="s">
        <v>466</v>
      </c>
      <c r="G13" s="19" t="s">
        <v>42</v>
      </c>
      <c r="H13" s="19" t="s">
        <v>463</v>
      </c>
      <c r="I13" s="20"/>
      <c r="J13" s="20"/>
      <c r="K13" s="19">
        <v>2800</v>
      </c>
      <c r="L13" s="19">
        <f>"1753,7800"</f>
        <v>0</v>
      </c>
      <c r="M13" s="19"/>
    </row>
    <row r="14" spans="1:13" ht="12.75">
      <c r="A14" s="21" t="s">
        <v>467</v>
      </c>
      <c r="B14" s="21" t="s">
        <v>468</v>
      </c>
      <c r="C14" s="21" t="s">
        <v>469</v>
      </c>
      <c r="D14" s="21">
        <f>"0,6436"</f>
        <v>0</v>
      </c>
      <c r="E14" s="21" t="s">
        <v>25</v>
      </c>
      <c r="F14" s="21" t="s">
        <v>470</v>
      </c>
      <c r="G14" s="21" t="s">
        <v>41</v>
      </c>
      <c r="H14" s="21" t="s">
        <v>463</v>
      </c>
      <c r="I14" s="22"/>
      <c r="J14" s="22"/>
      <c r="K14" s="21">
        <v>2720</v>
      </c>
      <c r="L14" s="21">
        <f>"1750,5920"</f>
        <v>0</v>
      </c>
      <c r="M14" s="21"/>
    </row>
    <row r="15" spans="1:13" ht="12.75">
      <c r="A15" s="23" t="s">
        <v>360</v>
      </c>
      <c r="B15" s="23" t="s">
        <v>361</v>
      </c>
      <c r="C15" s="23" t="s">
        <v>362</v>
      </c>
      <c r="D15" s="23">
        <f>"0,7297"</f>
        <v>0</v>
      </c>
      <c r="E15" s="23" t="s">
        <v>25</v>
      </c>
      <c r="F15" s="23" t="s">
        <v>471</v>
      </c>
      <c r="G15" s="23" t="s">
        <v>42</v>
      </c>
      <c r="H15" s="23" t="s">
        <v>472</v>
      </c>
      <c r="I15" s="24"/>
      <c r="J15" s="24"/>
      <c r="K15" s="23">
        <v>2362.5</v>
      </c>
      <c r="L15" s="23">
        <f>"1723,9108"</f>
        <v>0</v>
      </c>
      <c r="M15" s="23"/>
    </row>
    <row r="17" spans="1:12" ht="15">
      <c r="A17" s="18" t="s">
        <v>63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3" ht="12.75">
      <c r="A18" s="16" t="s">
        <v>473</v>
      </c>
      <c r="B18" s="16" t="s">
        <v>474</v>
      </c>
      <c r="C18" s="16" t="s">
        <v>475</v>
      </c>
      <c r="D18" s="16">
        <f>"0,5901"</f>
        <v>0</v>
      </c>
      <c r="E18" s="16" t="s">
        <v>25</v>
      </c>
      <c r="F18" s="16" t="s">
        <v>476</v>
      </c>
      <c r="G18" s="16" t="s">
        <v>339</v>
      </c>
      <c r="H18" s="16" t="s">
        <v>472</v>
      </c>
      <c r="I18" s="17"/>
      <c r="J18" s="17"/>
      <c r="K18" s="16">
        <v>2700</v>
      </c>
      <c r="L18" s="16">
        <f>"1593,3860"</f>
        <v>0</v>
      </c>
      <c r="M18" s="16"/>
    </row>
    <row r="20" spans="1:12" ht="15">
      <c r="A20" s="18" t="s">
        <v>477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2.75">
      <c r="A21" s="19" t="s">
        <v>478</v>
      </c>
      <c r="B21" s="19" t="s">
        <v>479</v>
      </c>
      <c r="C21" s="19" t="s">
        <v>480</v>
      </c>
      <c r="D21" s="19">
        <f>"0,5316"</f>
        <v>0</v>
      </c>
      <c r="E21" s="19" t="s">
        <v>25</v>
      </c>
      <c r="F21" s="19" t="s">
        <v>47</v>
      </c>
      <c r="G21" s="19" t="s">
        <v>61</v>
      </c>
      <c r="H21" s="19" t="s">
        <v>481</v>
      </c>
      <c r="I21" s="20"/>
      <c r="J21" s="20"/>
      <c r="K21" s="19">
        <v>1400</v>
      </c>
      <c r="L21" s="19">
        <f>"744,2330"</f>
        <v>0</v>
      </c>
      <c r="M21" s="19"/>
    </row>
    <row r="22" spans="1:13" ht="12.75">
      <c r="A22" s="23" t="s">
        <v>478</v>
      </c>
      <c r="B22" s="23" t="s">
        <v>482</v>
      </c>
      <c r="C22" s="23" t="s">
        <v>480</v>
      </c>
      <c r="D22" s="23">
        <f>"0,6624"</f>
        <v>0</v>
      </c>
      <c r="E22" s="23" t="s">
        <v>25</v>
      </c>
      <c r="F22" s="23" t="s">
        <v>47</v>
      </c>
      <c r="G22" s="23" t="s">
        <v>61</v>
      </c>
      <c r="H22" s="23" t="s">
        <v>481</v>
      </c>
      <c r="I22" s="24"/>
      <c r="J22" s="24"/>
      <c r="K22" s="23">
        <v>1400</v>
      </c>
      <c r="L22" s="23">
        <f>"927,3143"</f>
        <v>0</v>
      </c>
      <c r="M22" s="23"/>
    </row>
    <row r="24" ht="15">
      <c r="E24" s="25" t="s">
        <v>99</v>
      </c>
    </row>
    <row r="25" ht="15">
      <c r="E25" s="25" t="s">
        <v>100</v>
      </c>
    </row>
    <row r="26" ht="15">
      <c r="E26" s="25" t="s">
        <v>101</v>
      </c>
    </row>
    <row r="27" ht="12.75">
      <c r="E27" s="1" t="s">
        <v>102</v>
      </c>
    </row>
    <row r="28" ht="12.75">
      <c r="E28" s="1" t="s">
        <v>103</v>
      </c>
    </row>
    <row r="29" ht="12.75">
      <c r="E29" s="1" t="s">
        <v>104</v>
      </c>
    </row>
    <row r="32" spans="1:2" ht="17.25">
      <c r="A32" s="26" t="s">
        <v>105</v>
      </c>
      <c r="B32" s="26"/>
    </row>
    <row r="33" spans="1:2" ht="15">
      <c r="A33" s="27" t="s">
        <v>122</v>
      </c>
      <c r="B33" s="27"/>
    </row>
    <row r="34" spans="1:2" ht="14.25">
      <c r="A34" s="28" t="s">
        <v>127</v>
      </c>
      <c r="B34" s="29"/>
    </row>
    <row r="35" spans="1:5" ht="13.5">
      <c r="A35" s="30" t="s">
        <v>1</v>
      </c>
      <c r="B35" s="30" t="s">
        <v>108</v>
      </c>
      <c r="C35" s="30" t="s">
        <v>109</v>
      </c>
      <c r="D35" s="30" t="s">
        <v>8</v>
      </c>
      <c r="E35" s="30" t="s">
        <v>110</v>
      </c>
    </row>
    <row r="36" spans="1:5" ht="12.75">
      <c r="A36" s="31" t="s">
        <v>450</v>
      </c>
      <c r="B36" s="1" t="s">
        <v>127</v>
      </c>
      <c r="C36" s="1" t="s">
        <v>125</v>
      </c>
      <c r="D36" s="1" t="s">
        <v>483</v>
      </c>
      <c r="E36" s="32" t="s">
        <v>484</v>
      </c>
    </row>
    <row r="37" spans="1:5" ht="12.75">
      <c r="A37" s="31" t="s">
        <v>455</v>
      </c>
      <c r="B37" s="1" t="s">
        <v>127</v>
      </c>
      <c r="C37" s="1" t="s">
        <v>305</v>
      </c>
      <c r="D37" s="1" t="s">
        <v>485</v>
      </c>
      <c r="E37" s="32" t="s">
        <v>486</v>
      </c>
    </row>
    <row r="38" spans="1:5" ht="12.75">
      <c r="A38" s="31" t="s">
        <v>464</v>
      </c>
      <c r="B38" s="1" t="s">
        <v>127</v>
      </c>
      <c r="C38" s="1" t="s">
        <v>134</v>
      </c>
      <c r="D38" s="1" t="s">
        <v>487</v>
      </c>
      <c r="E38" s="32" t="s">
        <v>488</v>
      </c>
    </row>
    <row r="39" spans="1:5" ht="12.75">
      <c r="A39" s="31" t="s">
        <v>460</v>
      </c>
      <c r="B39" s="1" t="s">
        <v>127</v>
      </c>
      <c r="C39" s="1" t="s">
        <v>305</v>
      </c>
      <c r="D39" s="1" t="s">
        <v>489</v>
      </c>
      <c r="E39" s="32" t="s">
        <v>490</v>
      </c>
    </row>
    <row r="40" spans="1:5" ht="12.75">
      <c r="A40" s="31" t="s">
        <v>478</v>
      </c>
      <c r="B40" s="1" t="s">
        <v>127</v>
      </c>
      <c r="C40" s="1" t="s">
        <v>491</v>
      </c>
      <c r="D40" s="1" t="s">
        <v>492</v>
      </c>
      <c r="E40" s="32" t="s">
        <v>493</v>
      </c>
    </row>
    <row r="42" spans="1:2" ht="14.25">
      <c r="A42" s="28" t="s">
        <v>118</v>
      </c>
      <c r="B42" s="29"/>
    </row>
    <row r="43" spans="1:5" ht="13.5">
      <c r="A43" s="30" t="s">
        <v>1</v>
      </c>
      <c r="B43" s="30" t="s">
        <v>108</v>
      </c>
      <c r="C43" s="30" t="s">
        <v>109</v>
      </c>
      <c r="D43" s="30" t="s">
        <v>8</v>
      </c>
      <c r="E43" s="30" t="s">
        <v>110</v>
      </c>
    </row>
    <row r="44" spans="1:5" ht="12.75">
      <c r="A44" s="31" t="s">
        <v>467</v>
      </c>
      <c r="B44" s="1" t="s">
        <v>119</v>
      </c>
      <c r="C44" s="1" t="s">
        <v>134</v>
      </c>
      <c r="D44" s="1" t="s">
        <v>494</v>
      </c>
      <c r="E44" s="32" t="s">
        <v>495</v>
      </c>
    </row>
    <row r="45" spans="1:5" ht="12.75">
      <c r="A45" s="31" t="s">
        <v>360</v>
      </c>
      <c r="B45" s="1" t="s">
        <v>136</v>
      </c>
      <c r="C45" s="1" t="s">
        <v>134</v>
      </c>
      <c r="D45" s="1" t="s">
        <v>496</v>
      </c>
      <c r="E45" s="32" t="s">
        <v>497</v>
      </c>
    </row>
    <row r="46" spans="1:5" ht="12.75">
      <c r="A46" s="31" t="s">
        <v>473</v>
      </c>
      <c r="B46" s="1" t="s">
        <v>119</v>
      </c>
      <c r="C46" s="1" t="s">
        <v>132</v>
      </c>
      <c r="D46" s="1" t="s">
        <v>498</v>
      </c>
      <c r="E46" s="32" t="s">
        <v>499</v>
      </c>
    </row>
    <row r="47" spans="1:5" ht="12.75">
      <c r="A47" s="31" t="s">
        <v>478</v>
      </c>
      <c r="B47" s="1" t="s">
        <v>500</v>
      </c>
      <c r="C47" s="1" t="s">
        <v>491</v>
      </c>
      <c r="D47" s="1" t="s">
        <v>492</v>
      </c>
      <c r="E47" s="32" t="s">
        <v>501</v>
      </c>
    </row>
  </sheetData>
  <sheetProtection selectLockedCells="1" selectUnlockedCells="1"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7:L17"/>
    <mergeCell ref="A20:L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/>
  <cp:lastPrinted>2008-02-22T21:19:54Z</cp:lastPrinted>
  <dcterms:created xsi:type="dcterms:W3CDTF">2002-06-16T13:36:44Z</dcterms:created>
  <dcterms:modified xsi:type="dcterms:W3CDTF">2018-02-07T17:42:58Z</dcterms:modified>
  <cp:category/>
  <cp:version/>
  <cp:contentType/>
  <cp:contentStatus/>
  <cp:revision>7</cp:revision>
</cp:coreProperties>
</file>