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WPA DL m-ply" sheetId="1" r:id="rId1"/>
    <sheet name="AWPA DL std.eq" sheetId="2" r:id="rId2"/>
    <sheet name="AWPA DL raw" sheetId="3" r:id="rId3"/>
    <sheet name="WPA DL std.eq" sheetId="4" r:id="rId4"/>
    <sheet name="WPA DL raw" sheetId="5" r:id="rId5"/>
    <sheet name="AWPA BP m-ply" sheetId="6" r:id="rId6"/>
    <sheet name="AWPA BP raw" sheetId="7" r:id="rId7"/>
    <sheet name="AWPA PL m-ply" sheetId="8" r:id="rId8"/>
    <sheet name="AWPA PL raw" sheetId="9" r:id="rId9"/>
    <sheet name="WPA BP raw" sheetId="10" r:id="rId10"/>
    <sheet name="WPA PL raw" sheetId="11" r:id="rId11"/>
    <sheet name="AWPC bp soft m.ply" sheetId="12" r:id="rId12"/>
    <sheet name="WPC BP soft std eq" sheetId="13" r:id="rId13"/>
    <sheet name="AWPC BP soft std eq" sheetId="14" r:id="rId14"/>
    <sheet name="WPC M-Rep BP 1bw" sheetId="15" r:id="rId15"/>
    <sheet name="AWPC M-Rep BP 1bw" sheetId="16" r:id="rId16"/>
    <sheet name="AWPC M-Rep BP 1_2bw" sheetId="17" r:id="rId17"/>
  </sheets>
  <definedNames>
    <definedName name="Excel_BuiltIn__FilterDatabase" localSheetId="10">'WPA PL raw'!$A$1:$S$3</definedName>
    <definedName name="Excel_BuiltIn__FilterDatabase" localSheetId="13">'AWPC BP soft std eq'!$A$1:$K$3</definedName>
    <definedName name="Excel_BuiltIn__FilterDatabase" localSheetId="16">'AWPC M-Rep BP 1_2bw'!$A$1:$K$3</definedName>
  </definedNames>
  <calcPr fullCalcOnLoad="1"/>
</workbook>
</file>

<file path=xl/sharedStrings.xml><?xml version="1.0" encoding="utf-8"?>
<sst xmlns="http://schemas.openxmlformats.org/spreadsheetml/2006/main" count="2399" uniqueCount="700">
  <si>
    <t>OPEN EUROPE CHAMPIONS CUP AWPA DL m-ply
14th-15th of April, 2018</t>
  </si>
  <si>
    <t>Name</t>
  </si>
  <si>
    <t xml:space="preserve">Age Categoty
Bith date/Age
</t>
  </si>
  <si>
    <t>Body
weight</t>
  </si>
  <si>
    <t>Gloss</t>
  </si>
  <si>
    <t>Team</t>
  </si>
  <si>
    <t>Town</t>
  </si>
  <si>
    <t>Deadlift</t>
  </si>
  <si>
    <t>Totall</t>
  </si>
  <si>
    <t>Pts</t>
  </si>
  <si>
    <t>Coach</t>
  </si>
  <si>
    <t>Rec</t>
  </si>
  <si>
    <t>Body Weight Category  90</t>
  </si>
  <si>
    <t>Domanskiy Alexandr</t>
  </si>
  <si>
    <t>Open (21.11.1985)/33</t>
  </si>
  <si>
    <t>89,90</t>
  </si>
  <si>
    <t>Fanat</t>
  </si>
  <si>
    <t>Arkhangelsk/Arkhangelskaya oblast</t>
  </si>
  <si>
    <t>190,0</t>
  </si>
  <si>
    <t>215,0</t>
  </si>
  <si>
    <t>230,0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</si>
  <si>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</si>
  <si>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</si>
  <si>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</si>
  <si>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</si>
  <si>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</si>
  <si>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</si>
  <si>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</si>
  <si>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Man</t>
  </si>
  <si>
    <t>Open</t>
  </si>
  <si>
    <t>Age class</t>
  </si>
  <si>
    <t>WC</t>
  </si>
  <si>
    <t>Coef.</t>
  </si>
  <si>
    <t>90</t>
  </si>
  <si>
    <t>134,7110</t>
  </si>
  <si>
    <t>OPEN EUROPE CHAMPIONS CUP AWPA DL std.eq
14th-15th of April, 2018</t>
  </si>
  <si>
    <t>225,0</t>
  </si>
  <si>
    <t>131,7825</t>
  </si>
  <si>
    <t>OPEN EUROPE CHAMPIONS CUP AWPA DL raw
14th-15th of April, 2018</t>
  </si>
  <si>
    <t>Body Weight Category  52</t>
  </si>
  <si>
    <t>Ataniyazova Tatiyana</t>
  </si>
  <si>
    <t>Open (23.12.1983)/35</t>
  </si>
  <si>
    <t>51,71</t>
  </si>
  <si>
    <t>DYuSSh Staryy gorodok</t>
  </si>
  <si>
    <t>Kubinka/Moskovskaya oblast</t>
  </si>
  <si>
    <t>87,5</t>
  </si>
  <si>
    <t>100,0</t>
  </si>
  <si>
    <t>Body Weight Category  56</t>
  </si>
  <si>
    <t>Omelchenko Ludmila</t>
  </si>
  <si>
    <t>Masters 40-44 (13.09.1976)/42</t>
  </si>
  <si>
    <t>55,34</t>
  </si>
  <si>
    <t>105,0</t>
  </si>
  <si>
    <t>Body Weight Category  67.5</t>
  </si>
  <si>
    <t>Motaliga Margarita</t>
  </si>
  <si>
    <t>Open (06.02.1989)/29</t>
  </si>
  <si>
    <t>64,41</t>
  </si>
  <si>
    <t>lichno</t>
  </si>
  <si>
    <t>Moscow</t>
  </si>
  <si>
    <t>97,5</t>
  </si>
  <si>
    <t>102,5</t>
  </si>
  <si>
    <t>107,5</t>
  </si>
  <si>
    <t>Evgrafova Ekaterina</t>
  </si>
  <si>
    <t>Open (21.07.1982)/36</t>
  </si>
  <si>
    <t>61,24</t>
  </si>
  <si>
    <t>UP Fitness</t>
  </si>
  <si>
    <t>Zheleznodorozhnyy/Moskovskaya oblast</t>
  </si>
  <si>
    <t>75,0</t>
  </si>
  <si>
    <t>82,5</t>
  </si>
  <si>
    <t>Body Weight Category  75</t>
  </si>
  <si>
    <t>Zmievskaya Irina</t>
  </si>
  <si>
    <t>Open (17.11.1988)/30</t>
  </si>
  <si>
    <t>70,76</t>
  </si>
  <si>
    <t>95,0</t>
  </si>
  <si>
    <t>Markova Nataliya</t>
  </si>
  <si>
    <t>Open (15.11.1991)/27</t>
  </si>
  <si>
    <t>68,04</t>
  </si>
  <si>
    <t>85,0</t>
  </si>
  <si>
    <t>90,0</t>
  </si>
  <si>
    <t>Shaydullina Nataliya</t>
  </si>
  <si>
    <t>Open (05.12.1984)/34</t>
  </si>
  <si>
    <t>87,54</t>
  </si>
  <si>
    <t>Russia</t>
  </si>
  <si>
    <t>132,5</t>
  </si>
  <si>
    <t>142,5</t>
  </si>
  <si>
    <t>150,0</t>
  </si>
  <si>
    <t>Boyk Yu.M.</t>
  </si>
  <si>
    <t>Body Weight Category  60</t>
  </si>
  <si>
    <t>Mardonov Vladislav</t>
  </si>
  <si>
    <t>Teen 13-15 (24.04.2002)/16</t>
  </si>
  <si>
    <t>59,20</t>
  </si>
  <si>
    <t>Mardonov Ruslan</t>
  </si>
  <si>
    <t>Kuznetstov Evgeniy</t>
  </si>
  <si>
    <t>Open (09.04.1989)/29</t>
  </si>
  <si>
    <t>56,60</t>
  </si>
  <si>
    <t>Piskaryov Vladislav</t>
  </si>
  <si>
    <t>Juniors 20-23 (21.03.1995)/23</t>
  </si>
  <si>
    <t>65,40</t>
  </si>
  <si>
    <t>Osokin Alexandr</t>
  </si>
  <si>
    <t>Juniors 20-23 (22.03.1995)/23</t>
  </si>
  <si>
    <t>74,80</t>
  </si>
  <si>
    <t>180,0</t>
  </si>
  <si>
    <t>202,5</t>
  </si>
  <si>
    <t>Petunin Igor</t>
  </si>
  <si>
    <t>Juniors 20-23 (08.12.1996)/22</t>
  </si>
  <si>
    <t>72,90</t>
  </si>
  <si>
    <t>Balashikha/Moskovskaya oblast</t>
  </si>
  <si>
    <t>Kovalev Victor</t>
  </si>
  <si>
    <t>Open (09.05.1984)/34</t>
  </si>
  <si>
    <t>73,10</t>
  </si>
  <si>
    <t>Akuna Matata</t>
  </si>
  <si>
    <t>165,0</t>
  </si>
  <si>
    <t>177,5</t>
  </si>
  <si>
    <t>182,5</t>
  </si>
  <si>
    <t>Sub Masters 33-39 (09.05.1984)/34</t>
  </si>
  <si>
    <t>Body Weight Category  82.5</t>
  </si>
  <si>
    <t>Aliev Ramil</t>
  </si>
  <si>
    <t>Open (12.03.1987)/31</t>
  </si>
  <si>
    <t>81,00</t>
  </si>
  <si>
    <t>110,0</t>
  </si>
  <si>
    <t>130,0</t>
  </si>
  <si>
    <t>Chalenko Victor</t>
  </si>
  <si>
    <t>Open (04.12.1987)/31</t>
  </si>
  <si>
    <t>88,50</t>
  </si>
  <si>
    <t>Krasnoznamensk/Moskovskaya oblast</t>
  </si>
  <si>
    <t>245,0</t>
  </si>
  <si>
    <t>255,0</t>
  </si>
  <si>
    <t>257,5</t>
  </si>
  <si>
    <t>Gorbunov Sergey</t>
  </si>
  <si>
    <t>Open (13.11.1991)/27</t>
  </si>
  <si>
    <t>87,20</t>
  </si>
  <si>
    <t>Drezna/Moskovskaya oblast</t>
  </si>
  <si>
    <t>240,0</t>
  </si>
  <si>
    <t>247,5</t>
  </si>
  <si>
    <t>200,0</t>
  </si>
  <si>
    <t>222,5</t>
  </si>
  <si>
    <t>235,0</t>
  </si>
  <si>
    <t>Aspidov Maksim</t>
  </si>
  <si>
    <t>Open (20.11.1991)/27</t>
  </si>
  <si>
    <t>88,20</t>
  </si>
  <si>
    <t>210,0</t>
  </si>
  <si>
    <t>227,5</t>
  </si>
  <si>
    <t>Gurdzhidi Aleksandr</t>
  </si>
  <si>
    <t>Masters 40-44 (12.07.1974)/44</t>
  </si>
  <si>
    <t>Khovanets Igor</t>
  </si>
  <si>
    <t>Masters 60-64 (07.01.1957)/61</t>
  </si>
  <si>
    <t>89,80</t>
  </si>
  <si>
    <t>135,0</t>
  </si>
  <si>
    <t>140,0</t>
  </si>
  <si>
    <t>Body Weight Category  100</t>
  </si>
  <si>
    <t>Elkhimov Andrey</t>
  </si>
  <si>
    <t>Open (03.07.1989)/29</t>
  </si>
  <si>
    <t>94,80</t>
  </si>
  <si>
    <t>Korolev/Moskovskaya oblast</t>
  </si>
  <si>
    <t>212,5</t>
  </si>
  <si>
    <t>Usachev Igor</t>
  </si>
  <si>
    <t>Masters 50-54 (06.06.1965)/53</t>
  </si>
  <si>
    <t>96,30</t>
  </si>
  <si>
    <t>Bryansk/Bryanskaya oblast</t>
  </si>
  <si>
    <t>205,0</t>
  </si>
  <si>
    <t>217,5</t>
  </si>
  <si>
    <t>Body Weight Category  110</t>
  </si>
  <si>
    <t>Zhdanov Vitaliy</t>
  </si>
  <si>
    <t>Open (18.09.1983)/35</t>
  </si>
  <si>
    <t>108,60</t>
  </si>
  <si>
    <t>Tula/Tulskaya oblast</t>
  </si>
  <si>
    <t>Body Weight Category  125</t>
  </si>
  <si>
    <t>Open (23.06.1978)/40</t>
  </si>
  <si>
    <t>111,20</t>
  </si>
  <si>
    <t>220,0</t>
  </si>
  <si>
    <t>Women</t>
  </si>
  <si>
    <t>96,6300</t>
  </si>
  <si>
    <t>67.5</t>
  </si>
  <si>
    <t>87,1288</t>
  </si>
  <si>
    <t>52</t>
  </si>
  <si>
    <t>85,1463</t>
  </si>
  <si>
    <t>75</t>
  </si>
  <si>
    <t>73,3200</t>
  </si>
  <si>
    <t>69,8115</t>
  </si>
  <si>
    <t>69,6330</t>
  </si>
  <si>
    <t>Teenagers</t>
  </si>
  <si>
    <t>Teen 13-15</t>
  </si>
  <si>
    <t>60</t>
  </si>
  <si>
    <t>86,5410</t>
  </si>
  <si>
    <t>Junior</t>
  </si>
  <si>
    <t>Juniors 20-23</t>
  </si>
  <si>
    <t>124,6210</t>
  </si>
  <si>
    <t>64,5715</t>
  </si>
  <si>
    <t>152,2855</t>
  </si>
  <si>
    <t>147,7327</t>
  </si>
  <si>
    <t>137,6395</t>
  </si>
  <si>
    <t>110</t>
  </si>
  <si>
    <t>131,8590</t>
  </si>
  <si>
    <t>131,8535</t>
  </si>
  <si>
    <t>125</t>
  </si>
  <si>
    <t>128,4240</t>
  </si>
  <si>
    <t>123,7715</t>
  </si>
  <si>
    <t>100</t>
  </si>
  <si>
    <t>115,1212</t>
  </si>
  <si>
    <t>114,5595</t>
  </si>
  <si>
    <t>82.5</t>
  </si>
  <si>
    <t>94,0950</t>
  </si>
  <si>
    <t>Masters</t>
  </si>
  <si>
    <t>Masters 50-54</t>
  </si>
  <si>
    <t>151,9612</t>
  </si>
  <si>
    <t>Masters 60-64</t>
  </si>
  <si>
    <t>139,4918</t>
  </si>
  <si>
    <t>OPEN EUROPE CHAMPIONS CUP WPA DL std.eq
14th-15th of April, 2018</t>
  </si>
  <si>
    <t>Ustinov Yuriy</t>
  </si>
  <si>
    <t>Masters 40-44 (10.05.1975)/43</t>
  </si>
  <si>
    <t>103,00</t>
  </si>
  <si>
    <t>Novorossiysk/Krasnodarskiy kray</t>
  </si>
  <si>
    <t>sam</t>
  </si>
  <si>
    <t>Masters 40-44</t>
  </si>
  <si>
    <t>127,0583</t>
  </si>
  <si>
    <t>OPEN EUROPE CHAMPIONS CUP WPA DL raw
14th-15th of April, 2018</t>
  </si>
  <si>
    <t>Efimova Anna</t>
  </si>
  <si>
    <t>Open (22.12.1992)/26</t>
  </si>
  <si>
    <t>52,16</t>
  </si>
  <si>
    <t>Pavlov Yuriy</t>
  </si>
  <si>
    <t>Masters 45-49 (06.05.1972)/46</t>
  </si>
  <si>
    <t>86,90</t>
  </si>
  <si>
    <t>Yegoryevsk/Moskovskaya oblast</t>
  </si>
  <si>
    <t>Belyaev Mikhail</t>
  </si>
  <si>
    <t>Open (24.09.1988)/30</t>
  </si>
  <si>
    <t>99,80</t>
  </si>
  <si>
    <t>270,0</t>
  </si>
  <si>
    <t>280,0</t>
  </si>
  <si>
    <t>Kiselev Sergey</t>
  </si>
  <si>
    <t>Open (16.05.1979)/39</t>
  </si>
  <si>
    <t>110,00</t>
  </si>
  <si>
    <t>Yakutsk/Yakutiya</t>
  </si>
  <si>
    <t>260,0</t>
  </si>
  <si>
    <t>Bareyshin Alexey</t>
  </si>
  <si>
    <t>Sub Masters 33-39 (27.10.1981)/37</t>
  </si>
  <si>
    <t>275,0</t>
  </si>
  <si>
    <t>295,0</t>
  </si>
  <si>
    <t>308,0</t>
  </si>
  <si>
    <t>82,1950</t>
  </si>
  <si>
    <t>155,2600</t>
  </si>
  <si>
    <t>150,2200</t>
  </si>
  <si>
    <t>Masters 45-49</t>
  </si>
  <si>
    <t>144,1901</t>
  </si>
  <si>
    <t>OPEN EUROPE CHAMPIONS CUP AWPA BP m-ply
14th-15th of April, 2018</t>
  </si>
  <si>
    <t>Benchpress</t>
  </si>
  <si>
    <t>Reshetov Nikolay</t>
  </si>
  <si>
    <t>Open (23.02.1959)/59</t>
  </si>
  <si>
    <t>88,90</t>
  </si>
  <si>
    <t>OSN "BARS"</t>
  </si>
  <si>
    <t>Volzhskiy/Volgogradskaya oblast</t>
  </si>
  <si>
    <t>195,0</t>
  </si>
  <si>
    <t>Masters 55-59 (23.02.1959)/59</t>
  </si>
  <si>
    <t>114,9915</t>
  </si>
  <si>
    <t>Masters 55-59</t>
  </si>
  <si>
    <t>182,8365</t>
  </si>
  <si>
    <t>OPEN EUROPE CHAMPIONS CUP AWPA BP raw
14th-15th of April, 2018</t>
  </si>
  <si>
    <t>Body Weight Category  48</t>
  </si>
  <si>
    <t>Namesova Dariya</t>
  </si>
  <si>
    <t>Open (22.04.2003)/15</t>
  </si>
  <si>
    <t>47,63</t>
  </si>
  <si>
    <t>Pavlovo/Nizhegorodskaya oblast</t>
  </si>
  <si>
    <t>65,0</t>
  </si>
  <si>
    <t>70,0</t>
  </si>
  <si>
    <t>72,5</t>
  </si>
  <si>
    <t>Kuznetsova Kseniya</t>
  </si>
  <si>
    <t>Open (01.11.1989)/29</t>
  </si>
  <si>
    <t>67,5</t>
  </si>
  <si>
    <t>37,5</t>
  </si>
  <si>
    <t>45,0</t>
  </si>
  <si>
    <t>Savitskaya Kristina</t>
  </si>
  <si>
    <t>Juniors 20-23 (12.09.1994)/24</t>
  </si>
  <si>
    <t>55,79</t>
  </si>
  <si>
    <t>Lyubertsy/Moskovskaya oblast</t>
  </si>
  <si>
    <t>60,0</t>
  </si>
  <si>
    <t>62,5</t>
  </si>
  <si>
    <t>Ilinskaya Ekaterina</t>
  </si>
  <si>
    <t>Open (04.12.1988)/30</t>
  </si>
  <si>
    <t>56,25</t>
  </si>
  <si>
    <t>Kondratieva Galina</t>
  </si>
  <si>
    <t>Masters 65-69 (06.02.1952)/66</t>
  </si>
  <si>
    <t>47,5</t>
  </si>
  <si>
    <t>50,0</t>
  </si>
  <si>
    <t>Namesova Oksana</t>
  </si>
  <si>
    <t>Open (17.05.1979)/39</t>
  </si>
  <si>
    <t>59,42</t>
  </si>
  <si>
    <t>Rossiya</t>
  </si>
  <si>
    <t>77,5</t>
  </si>
  <si>
    <t>Sotnikova Svetlana</t>
  </si>
  <si>
    <t>Open (30.01.1983)/35</t>
  </si>
  <si>
    <t>Edelshtein Olga</t>
  </si>
  <si>
    <t>Masters 45-49 (28.02.1972)/46</t>
  </si>
  <si>
    <t>80,74</t>
  </si>
  <si>
    <t>52,5</t>
  </si>
  <si>
    <t>55,0</t>
  </si>
  <si>
    <t>Sitdikov Vladislav</t>
  </si>
  <si>
    <t>Juniors 20-23 (23.12.1994)/24</t>
  </si>
  <si>
    <t>51,40</t>
  </si>
  <si>
    <t>80,0</t>
  </si>
  <si>
    <t>Shchegolkov Vladimir</t>
  </si>
  <si>
    <t>Nosov Pavel</t>
  </si>
  <si>
    <t>Open (29.12.1983)/35</t>
  </si>
  <si>
    <t>66,80</t>
  </si>
  <si>
    <t>Solobozov Aleksandr</t>
  </si>
  <si>
    <t>Masters 40-44 (01.08.1976)/42</t>
  </si>
  <si>
    <t>66,60</t>
  </si>
  <si>
    <t>Noginsk/Moskovskaya oblast</t>
  </si>
  <si>
    <t>125,0</t>
  </si>
  <si>
    <t>Kuzmin Sergey</t>
  </si>
  <si>
    <t>Teen 18-19 (17.01.1999)/19</t>
  </si>
  <si>
    <t>71,30</t>
  </si>
  <si>
    <t>117,5</t>
  </si>
  <si>
    <t>Kayol Igor</t>
  </si>
  <si>
    <t>Teen 18-19 (26.01.2000)/18</t>
  </si>
  <si>
    <t>71,10</t>
  </si>
  <si>
    <t>Voskresensk/Moskovskaya oblast</t>
  </si>
  <si>
    <t>112,5</t>
  </si>
  <si>
    <t>Dzhus Dmitriy</t>
  </si>
  <si>
    <t>Juniors 20-23 (17.08.1995)/23</t>
  </si>
  <si>
    <t>78,60</t>
  </si>
  <si>
    <t>152,5</t>
  </si>
  <si>
    <t>160,0</t>
  </si>
  <si>
    <t>163,0</t>
  </si>
  <si>
    <t>Gurkovskiy Sergey</t>
  </si>
  <si>
    <t>Open (17.08.1990)/28</t>
  </si>
  <si>
    <t>82,50</t>
  </si>
  <si>
    <t>155,0</t>
  </si>
  <si>
    <t>162,5</t>
  </si>
  <si>
    <t>Eryomin Yuriy</t>
  </si>
  <si>
    <t>Open (23.07.1984)/34</t>
  </si>
  <si>
    <t>145,0</t>
  </si>
  <si>
    <t>Vasiliev Ivan</t>
  </si>
  <si>
    <t>Open (08.06.1991)/27</t>
  </si>
  <si>
    <t>81,50</t>
  </si>
  <si>
    <t>Tambov/Tambovskaya oblast</t>
  </si>
  <si>
    <t>Loskutov Vladimir</t>
  </si>
  <si>
    <t>Open (08.08.1986)/32</t>
  </si>
  <si>
    <t>81,60</t>
  </si>
  <si>
    <t>Sergeev Dmitriy</t>
  </si>
  <si>
    <t>Open (12.02.1987)/31</t>
  </si>
  <si>
    <t>79,30</t>
  </si>
  <si>
    <t>115,0</t>
  </si>
  <si>
    <t>Georgiu Igor</t>
  </si>
  <si>
    <t>Masters 40-44 (01.07.1976)/42</t>
  </si>
  <si>
    <t>82,10</t>
  </si>
  <si>
    <t>137,5</t>
  </si>
  <si>
    <t>Petrov Mikhail</t>
  </si>
  <si>
    <t>Juniors 20-23 (16.04.1995)/23</t>
  </si>
  <si>
    <t>83,40</t>
  </si>
  <si>
    <t>Sarkisov Grigoriy</t>
  </si>
  <si>
    <t>Juniors 20-23 (03.03.1996)/22</t>
  </si>
  <si>
    <t>88,40</t>
  </si>
  <si>
    <t>122,5</t>
  </si>
  <si>
    <t>Opichenok Egor</t>
  </si>
  <si>
    <t>Open (25.09.1981)/37</t>
  </si>
  <si>
    <t>87,90</t>
  </si>
  <si>
    <t>192,5</t>
  </si>
  <si>
    <t>197,5</t>
  </si>
  <si>
    <t>Bagmadashiev Bair</t>
  </si>
  <si>
    <t>Open (18.06.1976)/42</t>
  </si>
  <si>
    <t>90,00</t>
  </si>
  <si>
    <t>175,0</t>
  </si>
  <si>
    <t>Magomedaliev Magomedali</t>
  </si>
  <si>
    <t>Open (10.08.1987)/31</t>
  </si>
  <si>
    <t>Krizhanovskiy Denis</t>
  </si>
  <si>
    <t>Open (30.07.1980)/38</t>
  </si>
  <si>
    <t>Demidov Nikita</t>
  </si>
  <si>
    <t>Open (20.05.1990)/28</t>
  </si>
  <si>
    <t>86,20</t>
  </si>
  <si>
    <t>Sukharev Igor</t>
  </si>
  <si>
    <t>Open (20.12.1989)/29</t>
  </si>
  <si>
    <t>85,70</t>
  </si>
  <si>
    <t>Fryazino/Moskovskaya oblast</t>
  </si>
  <si>
    <t>Tuzhilkin Aleksey</t>
  </si>
  <si>
    <t>Open (24.06.1989)/29</t>
  </si>
  <si>
    <t>87,50</t>
  </si>
  <si>
    <t>Masters 40-44 (18.06.1976)/42</t>
  </si>
  <si>
    <t>Perov Yuriy</t>
  </si>
  <si>
    <t>Masters 45-49 (04.01.1973)/45</t>
  </si>
  <si>
    <t>86,70</t>
  </si>
  <si>
    <t>Sochi/Krasnodarskiy kray</t>
  </si>
  <si>
    <t>170,0</t>
  </si>
  <si>
    <t>Chekmarev Sergey</t>
  </si>
  <si>
    <t>Juniors 20-23 (01.06.1995)/23</t>
  </si>
  <si>
    <t>97,10</t>
  </si>
  <si>
    <t>Belkin Kirill</t>
  </si>
  <si>
    <t>Open (21.08.1988)/30</t>
  </si>
  <si>
    <t>93,80</t>
  </si>
  <si>
    <t>185,0</t>
  </si>
  <si>
    <t>Kiryanov Alexey</t>
  </si>
  <si>
    <t>Open (07.04.1989)/29</t>
  </si>
  <si>
    <t>99,40</t>
  </si>
  <si>
    <t>Volgograd/Volgogradskaya oblast</t>
  </si>
  <si>
    <t>Lisenko Vyacheslav</t>
  </si>
  <si>
    <t>Open (16.10.1990)/28</t>
  </si>
  <si>
    <t>98,60</t>
  </si>
  <si>
    <t>157,5</t>
  </si>
  <si>
    <t>96,00</t>
  </si>
  <si>
    <t>155,5</t>
  </si>
  <si>
    <t>Sokolov Viktor</t>
  </si>
  <si>
    <t>Open (30.05.1989)/29</t>
  </si>
  <si>
    <t>102,60</t>
  </si>
  <si>
    <t>Kireev Dmitriy</t>
  </si>
  <si>
    <t>Masters 45-49 (25.08.1969)/49</t>
  </si>
  <si>
    <t>106,00</t>
  </si>
  <si>
    <t>Dinamo-30</t>
  </si>
  <si>
    <t>Kupreev Boris</t>
  </si>
  <si>
    <t>Open (09.05.1989)/29</t>
  </si>
  <si>
    <t>114,00</t>
  </si>
  <si>
    <t>Yatsyuta Ivan</t>
  </si>
  <si>
    <t>121,20</t>
  </si>
  <si>
    <t>Serpukhov/Moskovskaya oblast</t>
  </si>
  <si>
    <t>Bichkov Igor</t>
  </si>
  <si>
    <t>Masters 45-49 (18.06.1970)/48</t>
  </si>
  <si>
    <t>112,90</t>
  </si>
  <si>
    <t>172,5</t>
  </si>
  <si>
    <t>Chubarov Vladimir</t>
  </si>
  <si>
    <t>Masters 50-54 (03.04.1964)/54</t>
  </si>
  <si>
    <t>124,90</t>
  </si>
  <si>
    <t>Body Weight Category  140</t>
  </si>
  <si>
    <t>Karpov Aleksey</t>
  </si>
  <si>
    <t>Masters 40-44 (14.03.1976)/42</t>
  </si>
  <si>
    <t>129,10</t>
  </si>
  <si>
    <t>Kopeysk/Chelyabinskaya oblast</t>
  </si>
  <si>
    <t>56</t>
  </si>
  <si>
    <t>59,2150</t>
  </si>
  <si>
    <t>48</t>
  </si>
  <si>
    <t>72,8350</t>
  </si>
  <si>
    <t>70,2338</t>
  </si>
  <si>
    <t>67,2390</t>
  </si>
  <si>
    <t>65,0700</t>
  </si>
  <si>
    <t>63,6020</t>
  </si>
  <si>
    <t>36,4913</t>
  </si>
  <si>
    <t>Masters 65-69</t>
  </si>
  <si>
    <t>85,0222</t>
  </si>
  <si>
    <t>40,0453</t>
  </si>
  <si>
    <t>Teen 18-19</t>
  </si>
  <si>
    <t>72,6915</t>
  </si>
  <si>
    <t>104,1950</t>
  </si>
  <si>
    <t>93,7418</t>
  </si>
  <si>
    <t>86,8050</t>
  </si>
  <si>
    <t>78,6240</t>
  </si>
  <si>
    <t>78,4135</t>
  </si>
  <si>
    <t>114,3258</t>
  </si>
  <si>
    <t>105,7645</t>
  </si>
  <si>
    <t>102,7675</t>
  </si>
  <si>
    <t>102,4275</t>
  </si>
  <si>
    <t>100,6363</t>
  </si>
  <si>
    <t>93,2110</t>
  </si>
  <si>
    <t>91,8530</t>
  </si>
  <si>
    <t>90,9585</t>
  </si>
  <si>
    <t>90,5670</t>
  </si>
  <si>
    <t>90,4945</t>
  </si>
  <si>
    <t>87,8063</t>
  </si>
  <si>
    <t>86,4987</t>
  </si>
  <si>
    <t>84,1280</t>
  </si>
  <si>
    <t>79,6723</t>
  </si>
  <si>
    <t>79,0155</t>
  </si>
  <si>
    <t>126,5791</t>
  </si>
  <si>
    <t>121,2860</t>
  </si>
  <si>
    <t>109,8749</t>
  </si>
  <si>
    <t>102,7348</t>
  </si>
  <si>
    <t>101,4691</t>
  </si>
  <si>
    <t>99,0018</t>
  </si>
  <si>
    <t>95,3703</t>
  </si>
  <si>
    <t>140</t>
  </si>
  <si>
    <t>83,3160</t>
  </si>
  <si>
    <t>79,2172</t>
  </si>
  <si>
    <t>OPEN EUROPE CHAMPIONS CUP AWPA PL m-ply
14th-15th of April, 2018</t>
  </si>
  <si>
    <t>Squat</t>
  </si>
  <si>
    <t>Umerenkova Yuliya</t>
  </si>
  <si>
    <t>Open (09.12.1980)/38</t>
  </si>
  <si>
    <t>67,59</t>
  </si>
  <si>
    <t>Kursk/Kurskaya oblast</t>
  </si>
  <si>
    <t>120,0</t>
  </si>
  <si>
    <t>Umerenkov I.Yu.</t>
  </si>
  <si>
    <t>Sub Masters 33-39 (09.12.1980)/38</t>
  </si>
  <si>
    <t>497,5</t>
  </si>
  <si>
    <t>386,5077</t>
  </si>
  <si>
    <t>OPEN EUROPE CHAMPIONS CUP AWPA PL raw
14th-15th of April, 2018</t>
  </si>
  <si>
    <t>Kontar Inessa</t>
  </si>
  <si>
    <t>Open (25.01.1980)/38</t>
  </si>
  <si>
    <t>54,43</t>
  </si>
  <si>
    <t>Ervasov Ruslan</t>
  </si>
  <si>
    <t>Juniors 20-23 (17.05.1997)/21</t>
  </si>
  <si>
    <t>74,30</t>
  </si>
  <si>
    <t>Nalchik/Kabardino-Balkariya</t>
  </si>
  <si>
    <t>Kratt Nikita</t>
  </si>
  <si>
    <t>Teen 16-17 (08.11.2000)/18</t>
  </si>
  <si>
    <t>88,60</t>
  </si>
  <si>
    <t>Moskovskiy/Moskovskaya oblast</t>
  </si>
  <si>
    <t>127,5</t>
  </si>
  <si>
    <t>250,0</t>
  </si>
  <si>
    <t>Gerchoglo Pavel</t>
  </si>
  <si>
    <t>Open (10.08.1989)/29</t>
  </si>
  <si>
    <t>88,30</t>
  </si>
  <si>
    <t>Sgibnev Anton</t>
  </si>
  <si>
    <t>Open (26.04.1986)/32</t>
  </si>
  <si>
    <t>96,80</t>
  </si>
  <si>
    <t>Kineshma/Ivanovskaya oblast</t>
  </si>
  <si>
    <t>285,0</t>
  </si>
  <si>
    <t>300,0</t>
  </si>
  <si>
    <t>267,5</t>
  </si>
  <si>
    <t>Lakhanov Ivan</t>
  </si>
  <si>
    <t>Open (17.06.1987)/31</t>
  </si>
  <si>
    <t>98,80</t>
  </si>
  <si>
    <t>Bezpalenko Artyom</t>
  </si>
  <si>
    <t>Open (21.03.1990)/28</t>
  </si>
  <si>
    <t>Spirin Dmitriy</t>
  </si>
  <si>
    <t>Teen 16-17 (07.10.2000)/18</t>
  </si>
  <si>
    <t>130,30</t>
  </si>
  <si>
    <t>240,3248</t>
  </si>
  <si>
    <t>Teen 16-17</t>
  </si>
  <si>
    <t>577,5</t>
  </si>
  <si>
    <t>341,3025</t>
  </si>
  <si>
    <t>422,5</t>
  </si>
  <si>
    <t>217,4354</t>
  </si>
  <si>
    <t>390,0</t>
  </si>
  <si>
    <t>261,0660</t>
  </si>
  <si>
    <t>732,5</t>
  </si>
  <si>
    <t>411,9580</t>
  </si>
  <si>
    <t>695,0</t>
  </si>
  <si>
    <t>372,8675</t>
  </si>
  <si>
    <t>570,0</t>
  </si>
  <si>
    <t>337,5540</t>
  </si>
  <si>
    <t>595,0</t>
  </si>
  <si>
    <t>331,4150</t>
  </si>
  <si>
    <t>224,7960</t>
  </si>
  <si>
    <t>325,0</t>
  </si>
  <si>
    <t>203,8725</t>
  </si>
  <si>
    <t>OPEN EUROPE CHAMPIONS CUP WPA BP raw
14th-15th of April, 2018</t>
  </si>
  <si>
    <t>53,07</t>
  </si>
  <si>
    <t>42,5</t>
  </si>
  <si>
    <t>Gabigullina Asiya</t>
  </si>
  <si>
    <t>Open (30.11.1982)/36</t>
  </si>
  <si>
    <t>Ogorodnikov Ivan</t>
  </si>
  <si>
    <t>Open (11.09.1990)/28</t>
  </si>
  <si>
    <t>Shkarpetin Andrey</t>
  </si>
  <si>
    <t>Open (28.04.1990)/28</t>
  </si>
  <si>
    <t>87,70</t>
  </si>
  <si>
    <t>207,5</t>
  </si>
  <si>
    <t>86,50</t>
  </si>
  <si>
    <t>Akhmedov Asaf</t>
  </si>
  <si>
    <t>Masters 50-54 (23.07.1965)/53</t>
  </si>
  <si>
    <t>89,30</t>
  </si>
  <si>
    <t>Grigoriev Yuriy</t>
  </si>
  <si>
    <t>Open (09.02.1982)/36</t>
  </si>
  <si>
    <t>Ramenskoye/Moskovskaya oblast</t>
  </si>
  <si>
    <t>Sinelnikov Aleksey</t>
  </si>
  <si>
    <t>Open (20.06.1985)/33</t>
  </si>
  <si>
    <t>Smolensk/Smolenskaya oblast</t>
  </si>
  <si>
    <t>Tsutskiridze Nodar</t>
  </si>
  <si>
    <t>Masters 40-44 (14.09.1976)/42</t>
  </si>
  <si>
    <t>99,90</t>
  </si>
  <si>
    <t>Tokarev Aleksandr</t>
  </si>
  <si>
    <t>Masters 45-49 (28.12.1972)/46</t>
  </si>
  <si>
    <t>105,00</t>
  </si>
  <si>
    <t>Abrosimov Evgeniy</t>
  </si>
  <si>
    <t>Masters 50-54 (29.09.1966)/52</t>
  </si>
  <si>
    <t>106,10</t>
  </si>
  <si>
    <t>Folomkin Roman</t>
  </si>
  <si>
    <t>Open (30.06.1985)/33</t>
  </si>
  <si>
    <t>120,20</t>
  </si>
  <si>
    <t>42,9210</t>
  </si>
  <si>
    <t>112,9930</t>
  </si>
  <si>
    <t>111,1000</t>
  </si>
  <si>
    <t>108,7520</t>
  </si>
  <si>
    <t>100,0920</t>
  </si>
  <si>
    <t>92,7960</t>
  </si>
  <si>
    <t>132,1206</t>
  </si>
  <si>
    <t>116,8085</t>
  </si>
  <si>
    <t>103,7520</t>
  </si>
  <si>
    <t>102,0118</t>
  </si>
  <si>
    <t>91,7339</t>
  </si>
  <si>
    <t>OPEN EUROPE CHAMPIONS CUP WPA PL raw
14th-15th of April, 2018</t>
  </si>
  <si>
    <t>Kruchkov Sergey</t>
  </si>
  <si>
    <t>Masters 45-49 (22.06.1970)/48</t>
  </si>
  <si>
    <t>70,00</t>
  </si>
  <si>
    <t>Chuzhakov Dmitriy</t>
  </si>
  <si>
    <t>Open (10.10.1989)/29</t>
  </si>
  <si>
    <t>94,50</t>
  </si>
  <si>
    <t>287,5</t>
  </si>
  <si>
    <t>184,8890</t>
  </si>
  <si>
    <t>680,0</t>
  </si>
  <si>
    <t>387,1920</t>
  </si>
  <si>
    <t>OPEN EUROPE CHAMPIONS CUP AWPC bp soft m.ply equip
14th-15th of April, 2018</t>
  </si>
  <si>
    <t>73,90</t>
  </si>
  <si>
    <t>Shimchenko Ivan</t>
  </si>
  <si>
    <t>Open (26.11.1983)/35</t>
  </si>
  <si>
    <t>78,40</t>
  </si>
  <si>
    <t>Babenkov Andrey</t>
  </si>
  <si>
    <t>Open (16.07.1991)/27</t>
  </si>
  <si>
    <t>93,40</t>
  </si>
  <si>
    <t>137,9885</t>
  </si>
  <si>
    <t>100,0500</t>
  </si>
  <si>
    <t>97,4610</t>
  </si>
  <si>
    <t>OPEN EUROPE CHAMPIONS CUP WPC BP soft std equip
14th-15th of April, 2018</t>
  </si>
  <si>
    <t>Ilyushin Ruslan</t>
  </si>
  <si>
    <t>Open (25.02.1991)/27</t>
  </si>
  <si>
    <t>87,80</t>
  </si>
  <si>
    <t>Orekhovo-Zuyevo/Moskovskaya oblast</t>
  </si>
  <si>
    <t>272,5</t>
  </si>
  <si>
    <t>282,5</t>
  </si>
  <si>
    <t>292,5</t>
  </si>
  <si>
    <t>Myachik Sergey</t>
  </si>
  <si>
    <t>Open (25.08.1979)/39</t>
  </si>
  <si>
    <t>89,70</t>
  </si>
  <si>
    <t>252,5</t>
  </si>
  <si>
    <t>262,5</t>
  </si>
  <si>
    <t>Zakharov Sergey</t>
  </si>
  <si>
    <t>Open (20.03.1991)/27</t>
  </si>
  <si>
    <t>97,40</t>
  </si>
  <si>
    <t>181,4963</t>
  </si>
  <si>
    <t>160,9125</t>
  </si>
  <si>
    <t>138,1800</t>
  </si>
  <si>
    <t>OPEN EUROPE CHAMPIONS CUP AWPC BP soft std. equip  14th-15th of April, 2018</t>
  </si>
  <si>
    <t>Verzilov Sergey</t>
  </si>
  <si>
    <t>Open (15.10.1986)/32</t>
  </si>
  <si>
    <t>97,90</t>
  </si>
  <si>
    <t>Petrov Aleksey</t>
  </si>
  <si>
    <t>Masters 40-44 (25.03.1975)/43</t>
  </si>
  <si>
    <t>125,80</t>
  </si>
  <si>
    <t>134,9295</t>
  </si>
  <si>
    <t>123,5239</t>
  </si>
  <si>
    <t>OPEN EUROPE CHAMPIONS CUP WPC M-Repeat BP 1 bw
14th-15th of April, 2018</t>
  </si>
  <si>
    <t>Bith date
Age Categoty</t>
  </si>
  <si>
    <t>Вес</t>
  </si>
  <si>
    <t>Кол-во</t>
  </si>
  <si>
    <t>Sharandov Oleg</t>
  </si>
  <si>
    <t>Masters 40-44 (19.06.1973)/45</t>
  </si>
  <si>
    <t>75,90</t>
  </si>
  <si>
    <t>30,0</t>
  </si>
  <si>
    <t>Blinnikov Pavel</t>
  </si>
  <si>
    <t>Open (15.08.1978)/40</t>
  </si>
  <si>
    <t>12,0</t>
  </si>
  <si>
    <t>26,0</t>
  </si>
  <si>
    <t>Pallasovka/Volgogradskaya oblast</t>
  </si>
  <si>
    <t>22,0</t>
  </si>
  <si>
    <t>Rzhev/Tverskaya oblast</t>
  </si>
  <si>
    <t>28,0</t>
  </si>
  <si>
    <t>Chikarev Denis</t>
  </si>
  <si>
    <t>Open (30.09.1980)/38</t>
  </si>
  <si>
    <t>100,70</t>
  </si>
  <si>
    <t>Pavlenko Roman</t>
  </si>
  <si>
    <t>Masters 40-44 (10.10.1974)/44</t>
  </si>
  <si>
    <t>100,90</t>
  </si>
  <si>
    <t>6,0</t>
  </si>
  <si>
    <t>Evona Boris</t>
  </si>
  <si>
    <t>Open (13.11.1992)/26</t>
  </si>
  <si>
    <t>113,60</t>
  </si>
  <si>
    <t>29,0</t>
  </si>
  <si>
    <t>3335,0</t>
  </si>
  <si>
    <t>1860,4298</t>
  </si>
  <si>
    <t>2665,0</t>
  </si>
  <si>
    <t>1544,7672</t>
  </si>
  <si>
    <t>1080,0</t>
  </si>
  <si>
    <t>668,3580</t>
  </si>
  <si>
    <t>2325,0</t>
  </si>
  <si>
    <t>1655,0454</t>
  </si>
  <si>
    <t>2800,0</t>
  </si>
  <si>
    <t>1644,6234</t>
  </si>
  <si>
    <t>2365,0</t>
  </si>
  <si>
    <t>1542,5513</t>
  </si>
  <si>
    <t>2275,0</t>
  </si>
  <si>
    <t>1502,3582</t>
  </si>
  <si>
    <t>1980,0</t>
  </si>
  <si>
    <t>1417,5825</t>
  </si>
  <si>
    <t>OPEN EUROPE CHAMPIONS CUP AWPC M-Repeat BP 1bw
14th-15th of April, 2018</t>
  </si>
  <si>
    <t>Karnaushkina Irina</t>
  </si>
  <si>
    <t>Masters 45-49 (30.06.1972)/46</t>
  </si>
  <si>
    <t>49,80</t>
  </si>
  <si>
    <t>Filonenko Ivan</t>
  </si>
  <si>
    <t>33,0</t>
  </si>
  <si>
    <t>Kuklin Denis</t>
  </si>
  <si>
    <t>Open (06.09.1989)/29</t>
  </si>
  <si>
    <t>73,60</t>
  </si>
  <si>
    <t>Novosibirsk/Novosibirskaya oblast</t>
  </si>
  <si>
    <t>27,0</t>
  </si>
  <si>
    <t>Terekhin Yuriy</t>
  </si>
  <si>
    <t>Open (23.05.1975)/43</t>
  </si>
  <si>
    <t>84,50</t>
  </si>
  <si>
    <t>31,0</t>
  </si>
  <si>
    <t>9,0</t>
  </si>
  <si>
    <t>1100,0</t>
  </si>
  <si>
    <t>1329,8170</t>
  </si>
  <si>
    <t>3000,0</t>
  </si>
  <si>
    <t>1748,3999</t>
  </si>
  <si>
    <t>2227,5</t>
  </si>
  <si>
    <t>1681,9853</t>
  </si>
  <si>
    <t>2635,0</t>
  </si>
  <si>
    <t>1673,0932</t>
  </si>
  <si>
    <t>2565,0</t>
  </si>
  <si>
    <t>1535,6655</t>
  </si>
  <si>
    <t>2025,0</t>
  </si>
  <si>
    <t>1414,0575</t>
  </si>
  <si>
    <t>1170,0</t>
  </si>
  <si>
    <t>645,8800</t>
  </si>
  <si>
    <t>OPEN EUROPE CHAMPIONS CUP AWPC M-Repeat BP ½ bw
14th-15th of April, 2018</t>
  </si>
  <si>
    <t>52,90</t>
  </si>
  <si>
    <t>27,5</t>
  </si>
  <si>
    <t>825,0</t>
  </si>
  <si>
    <t>901,3950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</si>
</sst>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9" fillId="0" borderId="1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center" vertical="center"/>
    </xf>
    <xf numFmtId="165" fontId="20" fillId="0" borderId="15" xfId="0" applyNumberFormat="1" applyFont="1" applyFill="1" applyBorder="1" applyAlignment="1">
      <alignment horizontal="center" vertical="center"/>
    </xf>
    <xf numFmtId="165" fontId="20" fillId="0" borderId="16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5" fontId="21" fillId="0" borderId="18" xfId="0" applyNumberFormat="1" applyFont="1" applyFill="1" applyBorder="1" applyAlignment="1">
      <alignment horizontal="center" vertical="center"/>
    </xf>
    <xf numFmtId="165" fontId="21" fillId="0" borderId="19" xfId="0" applyNumberFormat="1" applyFont="1" applyFill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/>
    </xf>
    <xf numFmtId="165" fontId="23" fillId="0" borderId="21" xfId="0" applyNumberFormat="1" applyFont="1" applyBorder="1" applyAlignment="1">
      <alignment/>
    </xf>
    <xf numFmtId="165" fontId="24" fillId="0" borderId="0" xfId="0" applyNumberFormat="1" applyFont="1" applyAlignment="1">
      <alignment horizontal="left"/>
    </xf>
    <xf numFmtId="165" fontId="25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5" fontId="26" fillId="0" borderId="0" xfId="0" applyNumberFormat="1" applyFont="1" applyAlignment="1">
      <alignment horizontal="left" indent="1"/>
    </xf>
    <xf numFmtId="165" fontId="26" fillId="0" borderId="0" xfId="0" applyNumberFormat="1" applyFont="1" applyAlignment="1">
      <alignment/>
    </xf>
    <xf numFmtId="165" fontId="20" fillId="0" borderId="21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left" indent="1"/>
    </xf>
    <xf numFmtId="165" fontId="27" fillId="0" borderId="0" xfId="0" applyNumberFormat="1" applyFont="1" applyAlignment="1">
      <alignment/>
    </xf>
    <xf numFmtId="165" fontId="22" fillId="0" borderId="0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/>
    </xf>
    <xf numFmtId="165" fontId="23" fillId="0" borderId="22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23" fillId="0" borderId="23" xfId="0" applyNumberFormat="1" applyFont="1" applyBorder="1" applyAlignment="1">
      <alignment/>
    </xf>
    <xf numFmtId="165" fontId="0" fillId="0" borderId="24" xfId="0" applyNumberFormat="1" applyFont="1" applyBorder="1" applyAlignment="1">
      <alignment/>
    </xf>
    <xf numFmtId="165" fontId="23" fillId="0" borderId="24" xfId="0" applyNumberFormat="1" applyFont="1" applyBorder="1" applyAlignment="1">
      <alignment/>
    </xf>
    <xf numFmtId="165" fontId="27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5" fontId="28" fillId="0" borderId="20" xfId="0" applyNumberFormat="1" applyFont="1" applyFill="1" applyBorder="1" applyAlignment="1">
      <alignment horizontal="center"/>
    </xf>
    <xf numFmtId="165" fontId="27" fillId="0" borderId="21" xfId="0" applyNumberFormat="1" applyFont="1" applyFill="1" applyBorder="1" applyAlignment="1">
      <alignment horizontal="left"/>
    </xf>
    <xf numFmtId="165" fontId="0" fillId="0" borderId="21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left"/>
    </xf>
    <xf numFmtId="165" fontId="23" fillId="0" borderId="21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left" indent="1"/>
    </xf>
    <xf numFmtId="165" fontId="26" fillId="0" borderId="0" xfId="0" applyNumberFormat="1" applyFont="1" applyFill="1" applyBorder="1" applyAlignment="1">
      <alignment horizontal="center"/>
    </xf>
    <xf numFmtId="165" fontId="20" fillId="0" borderId="21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left" indent="1"/>
    </xf>
    <xf numFmtId="164" fontId="19" fillId="0" borderId="10" xfId="0" applyFont="1" applyFill="1" applyBorder="1" applyAlignment="1">
      <alignment horizontal="center" vertical="center" wrapText="1"/>
    </xf>
    <xf numFmtId="165" fontId="20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4.875" style="1" customWidth="1"/>
    <col min="2" max="2" width="19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0.1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13</v>
      </c>
      <c r="B6" s="16" t="s">
        <v>14</v>
      </c>
      <c r="C6" s="16" t="s">
        <v>15</v>
      </c>
      <c r="D6" s="16">
        <f>"0,5857"</f>
        <v>0</v>
      </c>
      <c r="E6" s="16" t="s">
        <v>16</v>
      </c>
      <c r="F6" s="16" t="s">
        <v>17</v>
      </c>
      <c r="G6" s="16" t="s">
        <v>18</v>
      </c>
      <c r="H6" s="16" t="s">
        <v>19</v>
      </c>
      <c r="I6" s="16" t="s">
        <v>20</v>
      </c>
      <c r="J6" s="17"/>
      <c r="K6" s="16">
        <v>230</v>
      </c>
      <c r="L6" s="16">
        <f>"134,7110"</f>
        <v>0</v>
      </c>
      <c r="M6" s="16"/>
    </row>
    <row r="8" ht="15">
      <c r="E8" s="18" t="s">
        <v>21</v>
      </c>
    </row>
    <row r="9" ht="15">
      <c r="E9" s="18" t="s">
        <v>22</v>
      </c>
    </row>
    <row r="10" ht="15">
      <c r="E10" s="18" t="s">
        <v>23</v>
      </c>
    </row>
    <row r="11" ht="12.75">
      <c r="E11" s="1" t="s">
        <v>24</v>
      </c>
    </row>
    <row r="12" ht="12.75">
      <c r="E12" s="1" t="s">
        <v>25</v>
      </c>
    </row>
    <row r="13" ht="12.75">
      <c r="E13" s="1" t="s">
        <v>26</v>
      </c>
    </row>
    <row r="16" spans="1:2" ht="17.25">
      <c r="A16" s="19" t="s">
        <v>27</v>
      </c>
      <c r="B16" s="19"/>
    </row>
    <row r="17" spans="1:2" ht="15">
      <c r="A17" s="20" t="s">
        <v>28</v>
      </c>
      <c r="B17" s="20"/>
    </row>
    <row r="18" spans="1:2" ht="14.25">
      <c r="A18" s="21" t="s">
        <v>29</v>
      </c>
      <c r="B18" s="22"/>
    </row>
    <row r="19" spans="1:5" ht="13.5">
      <c r="A19" s="23" t="s">
        <v>1</v>
      </c>
      <c r="B19" s="23" t="s">
        <v>30</v>
      </c>
      <c r="C19" s="23" t="s">
        <v>31</v>
      </c>
      <c r="D19" s="23" t="s">
        <v>8</v>
      </c>
      <c r="E19" s="23" t="s">
        <v>32</v>
      </c>
    </row>
    <row r="20" spans="1:5" ht="12.75">
      <c r="A20" s="24" t="s">
        <v>13</v>
      </c>
      <c r="B20" s="1" t="s">
        <v>29</v>
      </c>
      <c r="C20" s="1" t="s">
        <v>33</v>
      </c>
      <c r="D20" s="1" t="s">
        <v>20</v>
      </c>
      <c r="E20" s="25" t="s">
        <v>34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L19" sqref="L19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8.5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528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243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27" t="s">
        <v>215</v>
      </c>
      <c r="B6" s="27" t="s">
        <v>216</v>
      </c>
      <c r="C6" s="27" t="s">
        <v>529</v>
      </c>
      <c r="D6" s="27">
        <f>"0,9538"</f>
        <v>0</v>
      </c>
      <c r="E6" s="27" t="s">
        <v>109</v>
      </c>
      <c r="F6" s="27" t="s">
        <v>57</v>
      </c>
      <c r="G6" s="27" t="s">
        <v>530</v>
      </c>
      <c r="H6" s="28" t="s">
        <v>267</v>
      </c>
      <c r="I6" s="27" t="s">
        <v>267</v>
      </c>
      <c r="J6" s="28"/>
      <c r="K6" s="27">
        <v>45</v>
      </c>
      <c r="L6" s="27">
        <f>"42,9210"</f>
        <v>0</v>
      </c>
      <c r="M6" s="27"/>
    </row>
    <row r="7" spans="1:13" ht="12.75">
      <c r="A7" s="29" t="s">
        <v>531</v>
      </c>
      <c r="B7" s="29" t="s">
        <v>532</v>
      </c>
      <c r="C7" s="29" t="s">
        <v>50</v>
      </c>
      <c r="D7" s="29">
        <f>"0,9208"</f>
        <v>0</v>
      </c>
      <c r="E7" s="29" t="s">
        <v>56</v>
      </c>
      <c r="F7" s="29" t="s">
        <v>57</v>
      </c>
      <c r="G7" s="30" t="s">
        <v>296</v>
      </c>
      <c r="H7" s="30" t="s">
        <v>296</v>
      </c>
      <c r="I7" s="30" t="s">
        <v>296</v>
      </c>
      <c r="J7" s="30"/>
      <c r="K7" s="29">
        <v>0</v>
      </c>
      <c r="L7" s="29">
        <f>"0,0000"</f>
        <v>0</v>
      </c>
      <c r="M7" s="29"/>
    </row>
    <row r="9" spans="1:12" ht="15">
      <c r="A9" s="26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12.75">
      <c r="A10" s="16" t="s">
        <v>533</v>
      </c>
      <c r="B10" s="16" t="s">
        <v>534</v>
      </c>
      <c r="C10" s="16" t="s">
        <v>104</v>
      </c>
      <c r="D10" s="16">
        <f>"0,6797"</f>
        <v>0</v>
      </c>
      <c r="E10" s="16" t="s">
        <v>56</v>
      </c>
      <c r="F10" s="16" t="s">
        <v>271</v>
      </c>
      <c r="G10" s="17" t="s">
        <v>84</v>
      </c>
      <c r="H10" s="16" t="s">
        <v>324</v>
      </c>
      <c r="I10" s="16" t="s">
        <v>319</v>
      </c>
      <c r="J10" s="17"/>
      <c r="K10" s="16">
        <v>160</v>
      </c>
      <c r="L10" s="16">
        <f>"108,7520"</f>
        <v>0</v>
      </c>
      <c r="M10" s="16"/>
    </row>
    <row r="12" spans="1:12" ht="15">
      <c r="A12" s="26" t="s">
        <v>12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 ht="12.75">
      <c r="A13" s="27" t="s">
        <v>535</v>
      </c>
      <c r="B13" s="27" t="s">
        <v>536</v>
      </c>
      <c r="C13" s="27" t="s">
        <v>537</v>
      </c>
      <c r="D13" s="27">
        <f>"0,5947"</f>
        <v>0</v>
      </c>
      <c r="E13" s="27" t="s">
        <v>247</v>
      </c>
      <c r="F13" s="27" t="s">
        <v>390</v>
      </c>
      <c r="G13" s="28" t="s">
        <v>18</v>
      </c>
      <c r="H13" s="27" t="s">
        <v>18</v>
      </c>
      <c r="I13" s="28" t="s">
        <v>538</v>
      </c>
      <c r="J13" s="28"/>
      <c r="K13" s="27">
        <v>190</v>
      </c>
      <c r="L13" s="27">
        <f>"112,9930"</f>
        <v>0</v>
      </c>
      <c r="M13" s="27"/>
    </row>
    <row r="14" spans="1:13" ht="12.75">
      <c r="A14" s="31" t="s">
        <v>218</v>
      </c>
      <c r="B14" s="31" t="s">
        <v>219</v>
      </c>
      <c r="C14" s="31" t="s">
        <v>539</v>
      </c>
      <c r="D14" s="31">
        <f>"0,6288"</f>
        <v>0</v>
      </c>
      <c r="E14" s="31" t="s">
        <v>56</v>
      </c>
      <c r="F14" s="31" t="s">
        <v>221</v>
      </c>
      <c r="G14" s="31" t="s">
        <v>84</v>
      </c>
      <c r="H14" s="31" t="s">
        <v>319</v>
      </c>
      <c r="I14" s="31" t="s">
        <v>110</v>
      </c>
      <c r="J14" s="32"/>
      <c r="K14" s="31">
        <v>165</v>
      </c>
      <c r="L14" s="31">
        <f>"103,7520"</f>
        <v>0</v>
      </c>
      <c r="M14" s="31"/>
    </row>
    <row r="15" spans="1:13" ht="12.75">
      <c r="A15" s="29" t="s">
        <v>540</v>
      </c>
      <c r="B15" s="29" t="s">
        <v>541</v>
      </c>
      <c r="C15" s="29" t="s">
        <v>542</v>
      </c>
      <c r="D15" s="29">
        <f>"0,7287"</f>
        <v>0</v>
      </c>
      <c r="E15" s="29" t="s">
        <v>81</v>
      </c>
      <c r="F15" s="29" t="s">
        <v>81</v>
      </c>
      <c r="G15" s="29" t="s">
        <v>119</v>
      </c>
      <c r="H15" s="29" t="s">
        <v>146</v>
      </c>
      <c r="I15" s="29" t="s">
        <v>147</v>
      </c>
      <c r="J15" s="30"/>
      <c r="K15" s="29">
        <v>140</v>
      </c>
      <c r="L15" s="29">
        <f>"102,0118"</f>
        <v>0</v>
      </c>
      <c r="M15" s="29"/>
    </row>
    <row r="17" spans="1:12" ht="15">
      <c r="A17" s="26" t="s">
        <v>148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3" ht="12.75">
      <c r="A18" s="27" t="s">
        <v>543</v>
      </c>
      <c r="B18" s="27" t="s">
        <v>544</v>
      </c>
      <c r="C18" s="27" t="s">
        <v>389</v>
      </c>
      <c r="D18" s="27">
        <f>"0,5555"</f>
        <v>0</v>
      </c>
      <c r="E18" s="27" t="s">
        <v>56</v>
      </c>
      <c r="F18" s="27" t="s">
        <v>545</v>
      </c>
      <c r="G18" s="27" t="s">
        <v>18</v>
      </c>
      <c r="H18" s="28" t="s">
        <v>133</v>
      </c>
      <c r="I18" s="27" t="s">
        <v>133</v>
      </c>
      <c r="J18" s="28"/>
      <c r="K18" s="27">
        <v>200</v>
      </c>
      <c r="L18" s="27">
        <f>"111,1000"</f>
        <v>0</v>
      </c>
      <c r="M18" s="27"/>
    </row>
    <row r="19" spans="1:13" ht="12.75">
      <c r="A19" s="31" t="s">
        <v>546</v>
      </c>
      <c r="B19" s="31" t="s">
        <v>547</v>
      </c>
      <c r="C19" s="31" t="s">
        <v>496</v>
      </c>
      <c r="D19" s="31">
        <f>"0,5624"</f>
        <v>0</v>
      </c>
      <c r="E19" s="31" t="s">
        <v>56</v>
      </c>
      <c r="F19" s="31" t="s">
        <v>548</v>
      </c>
      <c r="G19" s="31" t="s">
        <v>110</v>
      </c>
      <c r="H19" s="32" t="s">
        <v>18</v>
      </c>
      <c r="I19" s="32" t="s">
        <v>18</v>
      </c>
      <c r="J19" s="32"/>
      <c r="K19" s="31">
        <v>165</v>
      </c>
      <c r="L19" s="31">
        <f>"92,7960"</f>
        <v>0</v>
      </c>
      <c r="M19" s="31"/>
    </row>
    <row r="20" spans="1:13" ht="12.75">
      <c r="A20" s="29" t="s">
        <v>549</v>
      </c>
      <c r="B20" s="29" t="s">
        <v>550</v>
      </c>
      <c r="C20" s="29" t="s">
        <v>551</v>
      </c>
      <c r="D20" s="29">
        <f>"0,5560"</f>
        <v>0</v>
      </c>
      <c r="E20" s="29" t="s">
        <v>56</v>
      </c>
      <c r="F20" s="29" t="s">
        <v>81</v>
      </c>
      <c r="G20" s="30" t="s">
        <v>319</v>
      </c>
      <c r="H20" s="29" t="s">
        <v>319</v>
      </c>
      <c r="I20" s="29" t="s">
        <v>110</v>
      </c>
      <c r="J20" s="30"/>
      <c r="K20" s="29">
        <v>165</v>
      </c>
      <c r="L20" s="29">
        <f>"91,7339"</f>
        <v>0</v>
      </c>
      <c r="M20" s="29"/>
    </row>
    <row r="22" spans="1:12" ht="15">
      <c r="A22" s="26" t="s">
        <v>160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 ht="12.75">
      <c r="A23" s="27" t="s">
        <v>552</v>
      </c>
      <c r="B23" s="27" t="s">
        <v>553</v>
      </c>
      <c r="C23" s="27" t="s">
        <v>554</v>
      </c>
      <c r="D23" s="27">
        <f>"0,5698"</f>
        <v>0</v>
      </c>
      <c r="E23" s="27" t="s">
        <v>56</v>
      </c>
      <c r="F23" s="27" t="s">
        <v>57</v>
      </c>
      <c r="G23" s="27" t="s">
        <v>18</v>
      </c>
      <c r="H23" s="27" t="s">
        <v>133</v>
      </c>
      <c r="I23" s="27" t="s">
        <v>158</v>
      </c>
      <c r="J23" s="28"/>
      <c r="K23" s="27">
        <v>205</v>
      </c>
      <c r="L23" s="27">
        <f>"116,8085"</f>
        <v>0</v>
      </c>
      <c r="M23" s="27"/>
    </row>
    <row r="24" spans="1:13" ht="12.75">
      <c r="A24" s="29" t="s">
        <v>555</v>
      </c>
      <c r="B24" s="29" t="s">
        <v>556</v>
      </c>
      <c r="C24" s="29" t="s">
        <v>557</v>
      </c>
      <c r="D24" s="29">
        <f>"0,6524"</f>
        <v>0</v>
      </c>
      <c r="E24" s="29" t="s">
        <v>247</v>
      </c>
      <c r="F24" s="29" t="s">
        <v>390</v>
      </c>
      <c r="G24" s="29" t="s">
        <v>249</v>
      </c>
      <c r="H24" s="29" t="s">
        <v>101</v>
      </c>
      <c r="I24" s="30" t="s">
        <v>158</v>
      </c>
      <c r="J24" s="30"/>
      <c r="K24" s="29">
        <v>202.5</v>
      </c>
      <c r="L24" s="29">
        <f>"132,1206"</f>
        <v>0</v>
      </c>
      <c r="M24" s="29"/>
    </row>
    <row r="26" spans="1:12" ht="15">
      <c r="A26" s="26" t="s">
        <v>165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3" ht="12.75">
      <c r="A27" s="16" t="s">
        <v>558</v>
      </c>
      <c r="B27" s="16" t="s">
        <v>559</v>
      </c>
      <c r="C27" s="16" t="s">
        <v>560</v>
      </c>
      <c r="D27" s="16">
        <f>"0,5268"</f>
        <v>0</v>
      </c>
      <c r="E27" s="16" t="s">
        <v>56</v>
      </c>
      <c r="F27" s="16" t="s">
        <v>545</v>
      </c>
      <c r="G27" s="16" t="s">
        <v>18</v>
      </c>
      <c r="H27" s="17" t="s">
        <v>355</v>
      </c>
      <c r="I27" s="17" t="s">
        <v>355</v>
      </c>
      <c r="J27" s="17"/>
      <c r="K27" s="16">
        <v>190</v>
      </c>
      <c r="L27" s="16">
        <f>"100,0920"</f>
        <v>0</v>
      </c>
      <c r="M27" s="16"/>
    </row>
    <row r="29" ht="15">
      <c r="E29" s="18" t="s">
        <v>21</v>
      </c>
    </row>
    <row r="30" ht="15">
      <c r="E30" s="18" t="s">
        <v>22</v>
      </c>
    </row>
    <row r="31" ht="15">
      <c r="E31" s="18" t="s">
        <v>23</v>
      </c>
    </row>
    <row r="32" ht="12.75">
      <c r="E32" s="1" t="s">
        <v>24</v>
      </c>
    </row>
    <row r="33" ht="12.75">
      <c r="E33" s="1" t="s">
        <v>25</v>
      </c>
    </row>
    <row r="34" ht="12.75">
      <c r="E34" s="1" t="s">
        <v>26</v>
      </c>
    </row>
    <row r="37" spans="1:2" ht="17.25">
      <c r="A37" s="19" t="s">
        <v>27</v>
      </c>
      <c r="B37" s="19"/>
    </row>
    <row r="38" spans="1:2" ht="15">
      <c r="A38" s="20" t="s">
        <v>169</v>
      </c>
      <c r="B38" s="20"/>
    </row>
    <row r="39" spans="1:2" ht="14.25">
      <c r="A39" s="21" t="s">
        <v>29</v>
      </c>
      <c r="B39" s="22"/>
    </row>
    <row r="40" spans="1:5" ht="13.5">
      <c r="A40" s="23" t="s">
        <v>1</v>
      </c>
      <c r="B40" s="23" t="s">
        <v>30</v>
      </c>
      <c r="C40" s="23" t="s">
        <v>31</v>
      </c>
      <c r="D40" s="23" t="s">
        <v>8</v>
      </c>
      <c r="E40" s="23" t="s">
        <v>32</v>
      </c>
    </row>
    <row r="41" spans="1:5" ht="12.75">
      <c r="A41" s="24" t="s">
        <v>215</v>
      </c>
      <c r="B41" s="1" t="s">
        <v>29</v>
      </c>
      <c r="C41" s="1" t="s">
        <v>422</v>
      </c>
      <c r="D41" s="1" t="s">
        <v>267</v>
      </c>
      <c r="E41" s="25" t="s">
        <v>561</v>
      </c>
    </row>
    <row r="44" spans="1:2" ht="15">
      <c r="A44" s="20" t="s">
        <v>28</v>
      </c>
      <c r="B44" s="20"/>
    </row>
    <row r="45" spans="1:2" ht="14.25">
      <c r="A45" s="21" t="s">
        <v>29</v>
      </c>
      <c r="B45" s="22"/>
    </row>
    <row r="46" spans="1:5" ht="13.5">
      <c r="A46" s="23" t="s">
        <v>1</v>
      </c>
      <c r="B46" s="23" t="s">
        <v>30</v>
      </c>
      <c r="C46" s="23" t="s">
        <v>31</v>
      </c>
      <c r="D46" s="23" t="s">
        <v>8</v>
      </c>
      <c r="E46" s="23" t="s">
        <v>32</v>
      </c>
    </row>
    <row r="47" spans="1:5" ht="12.75">
      <c r="A47" s="24" t="s">
        <v>535</v>
      </c>
      <c r="B47" s="1" t="s">
        <v>29</v>
      </c>
      <c r="C47" s="1" t="s">
        <v>33</v>
      </c>
      <c r="D47" s="1" t="s">
        <v>18</v>
      </c>
      <c r="E47" s="25" t="s">
        <v>562</v>
      </c>
    </row>
    <row r="48" spans="1:5" ht="12.75">
      <c r="A48" s="24" t="s">
        <v>543</v>
      </c>
      <c r="B48" s="1" t="s">
        <v>29</v>
      </c>
      <c r="C48" s="1" t="s">
        <v>196</v>
      </c>
      <c r="D48" s="1" t="s">
        <v>133</v>
      </c>
      <c r="E48" s="25" t="s">
        <v>563</v>
      </c>
    </row>
    <row r="49" spans="1:5" ht="12.75">
      <c r="A49" s="24" t="s">
        <v>533</v>
      </c>
      <c r="B49" s="1" t="s">
        <v>29</v>
      </c>
      <c r="C49" s="1" t="s">
        <v>175</v>
      </c>
      <c r="D49" s="1" t="s">
        <v>319</v>
      </c>
      <c r="E49" s="25" t="s">
        <v>564</v>
      </c>
    </row>
    <row r="50" spans="1:5" ht="12.75">
      <c r="A50" s="24" t="s">
        <v>558</v>
      </c>
      <c r="B50" s="1" t="s">
        <v>29</v>
      </c>
      <c r="C50" s="1" t="s">
        <v>193</v>
      </c>
      <c r="D50" s="1" t="s">
        <v>18</v>
      </c>
      <c r="E50" s="25" t="s">
        <v>565</v>
      </c>
    </row>
    <row r="51" spans="1:5" ht="12.75">
      <c r="A51" s="24" t="s">
        <v>546</v>
      </c>
      <c r="B51" s="1" t="s">
        <v>29</v>
      </c>
      <c r="C51" s="1" t="s">
        <v>196</v>
      </c>
      <c r="D51" s="1" t="s">
        <v>110</v>
      </c>
      <c r="E51" s="25" t="s">
        <v>566</v>
      </c>
    </row>
    <row r="53" spans="1:2" ht="14.25">
      <c r="A53" s="21" t="s">
        <v>201</v>
      </c>
      <c r="B53" s="22"/>
    </row>
    <row r="54" spans="1:5" ht="13.5">
      <c r="A54" s="23" t="s">
        <v>1</v>
      </c>
      <c r="B54" s="23" t="s">
        <v>30</v>
      </c>
      <c r="C54" s="23" t="s">
        <v>31</v>
      </c>
      <c r="D54" s="23" t="s">
        <v>8</v>
      </c>
      <c r="E54" s="23" t="s">
        <v>32</v>
      </c>
    </row>
    <row r="55" spans="1:5" ht="12.75">
      <c r="A55" s="24" t="s">
        <v>555</v>
      </c>
      <c r="B55" s="1" t="s">
        <v>202</v>
      </c>
      <c r="C55" s="1" t="s">
        <v>190</v>
      </c>
      <c r="D55" s="1" t="s">
        <v>101</v>
      </c>
      <c r="E55" s="25" t="s">
        <v>567</v>
      </c>
    </row>
    <row r="56" spans="1:5" ht="12.75">
      <c r="A56" s="24" t="s">
        <v>552</v>
      </c>
      <c r="B56" s="1" t="s">
        <v>240</v>
      </c>
      <c r="C56" s="1" t="s">
        <v>190</v>
      </c>
      <c r="D56" s="1" t="s">
        <v>158</v>
      </c>
      <c r="E56" s="25" t="s">
        <v>568</v>
      </c>
    </row>
    <row r="57" spans="1:5" ht="12.75">
      <c r="A57" s="24" t="s">
        <v>218</v>
      </c>
      <c r="B57" s="1" t="s">
        <v>240</v>
      </c>
      <c r="C57" s="1" t="s">
        <v>33</v>
      </c>
      <c r="D57" s="1" t="s">
        <v>110</v>
      </c>
      <c r="E57" s="25" t="s">
        <v>569</v>
      </c>
    </row>
    <row r="58" spans="1:5" ht="12.75">
      <c r="A58" s="24" t="s">
        <v>540</v>
      </c>
      <c r="B58" s="1" t="s">
        <v>202</v>
      </c>
      <c r="C58" s="1" t="s">
        <v>33</v>
      </c>
      <c r="D58" s="1" t="s">
        <v>147</v>
      </c>
      <c r="E58" s="25" t="s">
        <v>570</v>
      </c>
    </row>
    <row r="59" spans="1:5" ht="12.75">
      <c r="A59" s="24" t="s">
        <v>549</v>
      </c>
      <c r="B59" s="1" t="s">
        <v>212</v>
      </c>
      <c r="C59" s="1" t="s">
        <v>196</v>
      </c>
      <c r="D59" s="1" t="s">
        <v>110</v>
      </c>
      <c r="E59" s="25" t="s">
        <v>571</v>
      </c>
    </row>
  </sheetData>
  <sheetProtection selectLockedCells="1" selectUnlockedCells="1"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2:L12"/>
    <mergeCell ref="A17:L17"/>
    <mergeCell ref="A22:L22"/>
    <mergeCell ref="A26:L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N13" sqref="N13"/>
    </sheetView>
  </sheetViews>
  <sheetFormatPr defaultColWidth="9.00390625" defaultRowHeight="12.75"/>
  <cols>
    <col min="1" max="1" width="28.50390625" style="33" customWidth="1"/>
    <col min="2" max="2" width="26.50390625" style="34" customWidth="1"/>
    <col min="3" max="3" width="7.50390625" style="34" customWidth="1"/>
    <col min="4" max="4" width="6.50390625" style="34" customWidth="1"/>
    <col min="5" max="5" width="17.00390625" style="35" customWidth="1"/>
    <col min="6" max="6" width="26.00390625" style="35" customWidth="1"/>
    <col min="7" max="9" width="5.50390625" style="34" customWidth="1"/>
    <col min="10" max="10" width="4.50390625" style="34" customWidth="1"/>
    <col min="11" max="13" width="5.50390625" style="34" customWidth="1"/>
    <col min="14" max="14" width="4.50390625" style="34" customWidth="1"/>
    <col min="15" max="17" width="5.50390625" style="34" customWidth="1"/>
    <col min="18" max="18" width="4.50390625" style="34" customWidth="1"/>
    <col min="19" max="19" width="6.375" style="33" customWidth="1"/>
    <col min="20" max="20" width="8.50390625" style="34" customWidth="1"/>
    <col min="21" max="21" width="7.125" style="35" customWidth="1"/>
    <col min="22" max="16384" width="9.125" style="3" customWidth="1"/>
  </cols>
  <sheetData>
    <row r="1" spans="1:21" ht="15" customHeight="1">
      <c r="A1" s="2" t="s">
        <v>572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5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467</v>
      </c>
      <c r="H3" s="8"/>
      <c r="I3" s="8"/>
      <c r="J3" s="8"/>
      <c r="K3" s="8" t="s">
        <v>243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1" s="34" customFormat="1" ht="15">
      <c r="A5" s="36" t="s">
        <v>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5"/>
    </row>
    <row r="6" spans="1:21" s="34" customFormat="1" ht="12.75">
      <c r="A6" s="37" t="s">
        <v>215</v>
      </c>
      <c r="B6" s="38" t="s">
        <v>216</v>
      </c>
      <c r="C6" s="38" t="s">
        <v>42</v>
      </c>
      <c r="D6" s="38">
        <f>"0,9731"</f>
        <v>0</v>
      </c>
      <c r="E6" s="39" t="s">
        <v>109</v>
      </c>
      <c r="F6" s="39" t="s">
        <v>57</v>
      </c>
      <c r="G6" s="40" t="s">
        <v>272</v>
      </c>
      <c r="H6" s="38" t="s">
        <v>272</v>
      </c>
      <c r="I6" s="40" t="s">
        <v>66</v>
      </c>
      <c r="J6" s="40"/>
      <c r="K6" s="38" t="s">
        <v>530</v>
      </c>
      <c r="L6" s="40" t="s">
        <v>267</v>
      </c>
      <c r="M6" s="38" t="s">
        <v>267</v>
      </c>
      <c r="N6" s="40"/>
      <c r="O6" s="38" t="s">
        <v>66</v>
      </c>
      <c r="P6" s="40" t="s">
        <v>76</v>
      </c>
      <c r="Q6" s="38" t="s">
        <v>76</v>
      </c>
      <c r="R6" s="40"/>
      <c r="S6" s="37">
        <v>190</v>
      </c>
      <c r="T6" s="38">
        <f>"184,8890"</f>
        <v>0</v>
      </c>
      <c r="U6" s="39"/>
    </row>
    <row r="7" spans="1:21" s="34" customFormat="1" ht="12.75">
      <c r="A7" s="33"/>
      <c r="E7" s="35"/>
      <c r="F7" s="35"/>
      <c r="S7" s="33"/>
      <c r="U7" s="35"/>
    </row>
    <row r="8" spans="1:20" ht="15">
      <c r="A8" s="41" t="s">
        <v>68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12.75">
      <c r="A9" s="37" t="s">
        <v>573</v>
      </c>
      <c r="B9" s="38" t="s">
        <v>574</v>
      </c>
      <c r="C9" s="38" t="s">
        <v>575</v>
      </c>
      <c r="D9" s="38">
        <f>"0,7678"</f>
        <v>0</v>
      </c>
      <c r="E9" s="39" t="s">
        <v>56</v>
      </c>
      <c r="F9" s="39" t="s">
        <v>57</v>
      </c>
      <c r="G9" s="40" t="s">
        <v>72</v>
      </c>
      <c r="H9" s="40" t="s">
        <v>72</v>
      </c>
      <c r="I9" s="38" t="s">
        <v>46</v>
      </c>
      <c r="J9" s="40"/>
      <c r="K9" s="40" t="s">
        <v>260</v>
      </c>
      <c r="L9" s="40" t="s">
        <v>260</v>
      </c>
      <c r="M9" s="40" t="s">
        <v>260</v>
      </c>
      <c r="N9" s="40"/>
      <c r="O9" s="40" t="s">
        <v>472</v>
      </c>
      <c r="P9" s="40"/>
      <c r="Q9" s="40"/>
      <c r="R9" s="40"/>
      <c r="S9" s="37">
        <v>0</v>
      </c>
      <c r="T9" s="38">
        <f>"0,0000"</f>
        <v>0</v>
      </c>
      <c r="U9" s="39"/>
    </row>
    <row r="11" spans="1:20" ht="15">
      <c r="A11" s="41" t="s">
        <v>148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1" ht="12.75">
      <c r="A12" s="37" t="s">
        <v>576</v>
      </c>
      <c r="B12" s="38" t="s">
        <v>577</v>
      </c>
      <c r="C12" s="38" t="s">
        <v>578</v>
      </c>
      <c r="D12" s="38">
        <f>"0,5694"</f>
        <v>0</v>
      </c>
      <c r="E12" s="39" t="s">
        <v>56</v>
      </c>
      <c r="F12" s="39" t="s">
        <v>271</v>
      </c>
      <c r="G12" s="40" t="s">
        <v>20</v>
      </c>
      <c r="H12" s="40" t="s">
        <v>20</v>
      </c>
      <c r="I12" s="38" t="s">
        <v>20</v>
      </c>
      <c r="J12" s="40"/>
      <c r="K12" s="38" t="s">
        <v>319</v>
      </c>
      <c r="L12" s="38" t="s">
        <v>359</v>
      </c>
      <c r="M12" s="40" t="s">
        <v>100</v>
      </c>
      <c r="N12" s="40"/>
      <c r="O12" s="38" t="s">
        <v>231</v>
      </c>
      <c r="P12" s="38" t="s">
        <v>234</v>
      </c>
      <c r="Q12" s="40" t="s">
        <v>579</v>
      </c>
      <c r="R12" s="40"/>
      <c r="S12" s="37">
        <v>680</v>
      </c>
      <c r="T12" s="38">
        <f>"387,1920"</f>
        <v>0</v>
      </c>
      <c r="U12" s="39"/>
    </row>
    <row r="14" ht="15">
      <c r="E14" s="42" t="s">
        <v>21</v>
      </c>
    </row>
    <row r="15" ht="15">
      <c r="E15" s="42" t="s">
        <v>22</v>
      </c>
    </row>
    <row r="16" ht="15">
      <c r="E16" s="42" t="s">
        <v>23</v>
      </c>
    </row>
    <row r="17" ht="12.75">
      <c r="E17" s="35" t="s">
        <v>24</v>
      </c>
    </row>
    <row r="18" ht="12.75">
      <c r="E18" s="35" t="s">
        <v>25</v>
      </c>
    </row>
    <row r="19" ht="12.75">
      <c r="E19" s="35" t="s">
        <v>26</v>
      </c>
    </row>
    <row r="22" spans="1:2" ht="17.25">
      <c r="A22" s="43" t="s">
        <v>27</v>
      </c>
      <c r="B22" s="44"/>
    </row>
    <row r="23" spans="1:2" ht="15">
      <c r="A23" s="45" t="s">
        <v>169</v>
      </c>
      <c r="B23" s="46"/>
    </row>
    <row r="24" spans="1:2" ht="14.25">
      <c r="A24" s="47" t="s">
        <v>29</v>
      </c>
      <c r="B24" s="48"/>
    </row>
    <row r="25" spans="1:5" ht="13.5">
      <c r="A25" s="49" t="s">
        <v>1</v>
      </c>
      <c r="B25" s="49" t="s">
        <v>30</v>
      </c>
      <c r="C25" s="49" t="s">
        <v>31</v>
      </c>
      <c r="D25" s="49" t="s">
        <v>8</v>
      </c>
      <c r="E25" s="49" t="s">
        <v>32</v>
      </c>
    </row>
    <row r="26" spans="1:5" ht="12.75">
      <c r="A26" s="50" t="s">
        <v>215</v>
      </c>
      <c r="B26" s="34" t="s">
        <v>29</v>
      </c>
      <c r="C26" s="34" t="s">
        <v>173</v>
      </c>
      <c r="D26" s="34" t="s">
        <v>18</v>
      </c>
      <c r="E26" s="33" t="s">
        <v>580</v>
      </c>
    </row>
    <row r="29" spans="1:2" ht="15">
      <c r="A29" s="45" t="s">
        <v>28</v>
      </c>
      <c r="B29" s="46"/>
    </row>
    <row r="30" spans="1:2" ht="14.25">
      <c r="A30" s="47" t="s">
        <v>29</v>
      </c>
      <c r="B30" s="48"/>
    </row>
    <row r="31" spans="1:5" ht="13.5">
      <c r="A31" s="49" t="s">
        <v>1</v>
      </c>
      <c r="B31" s="49" t="s">
        <v>30</v>
      </c>
      <c r="C31" s="49" t="s">
        <v>31</v>
      </c>
      <c r="D31" s="49" t="s">
        <v>8</v>
      </c>
      <c r="E31" s="49" t="s">
        <v>32</v>
      </c>
    </row>
    <row r="32" spans="1:5" ht="12.75">
      <c r="A32" s="50" t="s">
        <v>576</v>
      </c>
      <c r="B32" s="34" t="s">
        <v>29</v>
      </c>
      <c r="C32" s="34" t="s">
        <v>196</v>
      </c>
      <c r="D32" s="34" t="s">
        <v>581</v>
      </c>
      <c r="E32" s="33" t="s">
        <v>582</v>
      </c>
    </row>
  </sheetData>
  <sheetProtection selectLockedCells="1" selectUnlockedCells="1"/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</mergeCells>
  <printOptions/>
  <pageMargins left="0.19027777777777777" right="0.4701388888888889" top="0.45" bottom="0.49027777777777776" header="0.5118055555555555" footer="0.5118055555555555"/>
  <pageSetup fitToHeight="100" fitToWidth="1"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30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7.0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583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243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68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27" t="s">
        <v>106</v>
      </c>
      <c r="B6" s="27" t="s">
        <v>107</v>
      </c>
      <c r="C6" s="27" t="s">
        <v>584</v>
      </c>
      <c r="D6" s="27">
        <f aca="true" t="shared" si="0" ref="D6:D7">"0,6962"</f>
        <v>0</v>
      </c>
      <c r="E6" s="27" t="s">
        <v>56</v>
      </c>
      <c r="F6" s="27" t="s">
        <v>57</v>
      </c>
      <c r="G6" s="27" t="s">
        <v>119</v>
      </c>
      <c r="H6" s="28" t="s">
        <v>147</v>
      </c>
      <c r="I6" s="27" t="s">
        <v>147</v>
      </c>
      <c r="J6" s="28"/>
      <c r="K6" s="27">
        <v>140</v>
      </c>
      <c r="L6" s="27">
        <f>"97,4610"</f>
        <v>0</v>
      </c>
      <c r="M6" s="27"/>
    </row>
    <row r="7" spans="1:13" ht="12.75">
      <c r="A7" s="29" t="s">
        <v>106</v>
      </c>
      <c r="B7" s="29" t="s">
        <v>113</v>
      </c>
      <c r="C7" s="29" t="s">
        <v>584</v>
      </c>
      <c r="D7" s="29">
        <f t="shared" si="0"/>
        <v>0</v>
      </c>
      <c r="E7" s="29" t="s">
        <v>56</v>
      </c>
      <c r="F7" s="29" t="s">
        <v>57</v>
      </c>
      <c r="G7" s="30" t="s">
        <v>119</v>
      </c>
      <c r="H7" s="30"/>
      <c r="I7" s="30"/>
      <c r="J7" s="30"/>
      <c r="K7" s="29">
        <v>0</v>
      </c>
      <c r="L7" s="29">
        <f>"0,0000"</f>
        <v>0</v>
      </c>
      <c r="M7" s="29"/>
    </row>
    <row r="9" spans="1:12" ht="15">
      <c r="A9" s="26" t="s">
        <v>114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12.75">
      <c r="A10" s="16" t="s">
        <v>585</v>
      </c>
      <c r="B10" s="16" t="s">
        <v>586</v>
      </c>
      <c r="C10" s="16" t="s">
        <v>587</v>
      </c>
      <c r="D10" s="16">
        <f>"0,6670"</f>
        <v>0</v>
      </c>
      <c r="E10" s="16" t="s">
        <v>109</v>
      </c>
      <c r="F10" s="16" t="s">
        <v>57</v>
      </c>
      <c r="G10" s="16" t="s">
        <v>146</v>
      </c>
      <c r="H10" s="16" t="s">
        <v>84</v>
      </c>
      <c r="I10" s="17" t="s">
        <v>319</v>
      </c>
      <c r="J10" s="17"/>
      <c r="K10" s="16">
        <v>150</v>
      </c>
      <c r="L10" s="16">
        <f>"100,0500"</f>
        <v>0</v>
      </c>
      <c r="M10" s="16"/>
    </row>
    <row r="12" spans="1:12" ht="15">
      <c r="A12" s="26" t="s">
        <v>148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 ht="12.75">
      <c r="A13" s="16" t="s">
        <v>588</v>
      </c>
      <c r="B13" s="16" t="s">
        <v>589</v>
      </c>
      <c r="C13" s="16" t="s">
        <v>590</v>
      </c>
      <c r="D13" s="16">
        <f>"0,6000"</f>
        <v>0</v>
      </c>
      <c r="E13" s="16" t="s">
        <v>56</v>
      </c>
      <c r="F13" s="16" t="s">
        <v>57</v>
      </c>
      <c r="G13" s="16" t="s">
        <v>168</v>
      </c>
      <c r="H13" s="17" t="s">
        <v>20</v>
      </c>
      <c r="I13" s="16" t="s">
        <v>20</v>
      </c>
      <c r="J13" s="17"/>
      <c r="K13" s="16">
        <v>230</v>
      </c>
      <c r="L13" s="16">
        <f>"137,9885"</f>
        <v>0</v>
      </c>
      <c r="M13" s="16"/>
    </row>
    <row r="15" ht="15">
      <c r="E15" s="18" t="s">
        <v>21</v>
      </c>
    </row>
    <row r="16" ht="15">
      <c r="E16" s="18" t="s">
        <v>22</v>
      </c>
    </row>
    <row r="17" ht="15">
      <c r="E17" s="18" t="s">
        <v>23</v>
      </c>
    </row>
    <row r="18" ht="12.75">
      <c r="E18" s="1" t="s">
        <v>24</v>
      </c>
    </row>
    <row r="19" ht="12.75">
      <c r="E19" s="1" t="s">
        <v>25</v>
      </c>
    </row>
    <row r="20" ht="12.75">
      <c r="E20" s="1" t="s">
        <v>26</v>
      </c>
    </row>
    <row r="23" spans="1:2" ht="17.25">
      <c r="A23" s="19" t="s">
        <v>27</v>
      </c>
      <c r="B23" s="19"/>
    </row>
    <row r="24" spans="1:2" ht="15">
      <c r="A24" s="20" t="s">
        <v>28</v>
      </c>
      <c r="B24" s="20"/>
    </row>
    <row r="25" spans="1:2" ht="14.25">
      <c r="A25" s="21" t="s">
        <v>29</v>
      </c>
      <c r="B25" s="22"/>
    </row>
    <row r="26" spans="1:5" ht="13.5">
      <c r="A26" s="23" t="s">
        <v>1</v>
      </c>
      <c r="B26" s="23" t="s">
        <v>30</v>
      </c>
      <c r="C26" s="23" t="s">
        <v>31</v>
      </c>
      <c r="D26" s="23" t="s">
        <v>8</v>
      </c>
      <c r="E26" s="23" t="s">
        <v>32</v>
      </c>
    </row>
    <row r="27" spans="1:5" ht="12.75">
      <c r="A27" s="24" t="s">
        <v>588</v>
      </c>
      <c r="B27" s="1" t="s">
        <v>29</v>
      </c>
      <c r="C27" s="1" t="s">
        <v>196</v>
      </c>
      <c r="D27" s="1" t="s">
        <v>20</v>
      </c>
      <c r="E27" s="25" t="s">
        <v>591</v>
      </c>
    </row>
    <row r="28" spans="1:5" ht="12.75">
      <c r="A28" s="24" t="s">
        <v>585</v>
      </c>
      <c r="B28" s="1" t="s">
        <v>29</v>
      </c>
      <c r="C28" s="1" t="s">
        <v>199</v>
      </c>
      <c r="D28" s="1" t="s">
        <v>84</v>
      </c>
      <c r="E28" s="25" t="s">
        <v>592</v>
      </c>
    </row>
    <row r="29" spans="1:5" ht="12.75">
      <c r="A29" s="24" t="s">
        <v>106</v>
      </c>
      <c r="B29" s="1" t="s">
        <v>29</v>
      </c>
      <c r="C29" s="1" t="s">
        <v>175</v>
      </c>
      <c r="D29" s="1" t="s">
        <v>147</v>
      </c>
      <c r="E29" s="25" t="s">
        <v>593</v>
      </c>
    </row>
  </sheetData>
  <sheetProtection selectLockedCells="1" selectUnlockedCells="1"/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2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19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2.25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594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243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27" t="s">
        <v>595</v>
      </c>
      <c r="B6" s="27" t="s">
        <v>596</v>
      </c>
      <c r="C6" s="27" t="s">
        <v>597</v>
      </c>
      <c r="D6" s="27">
        <f>"0,6205"</f>
        <v>0</v>
      </c>
      <c r="E6" s="27" t="s">
        <v>56</v>
      </c>
      <c r="F6" s="27" t="s">
        <v>598</v>
      </c>
      <c r="G6" s="27" t="s">
        <v>599</v>
      </c>
      <c r="H6" s="27" t="s">
        <v>600</v>
      </c>
      <c r="I6" s="27" t="s">
        <v>601</v>
      </c>
      <c r="J6" s="28"/>
      <c r="K6" s="27">
        <v>292.5</v>
      </c>
      <c r="L6" s="27">
        <f>"181,4963"</f>
        <v>0</v>
      </c>
      <c r="M6" s="27"/>
    </row>
    <row r="7" spans="1:13" ht="12.75">
      <c r="A7" s="29" t="s">
        <v>602</v>
      </c>
      <c r="B7" s="29" t="s">
        <v>603</v>
      </c>
      <c r="C7" s="29" t="s">
        <v>604</v>
      </c>
      <c r="D7" s="29">
        <f>"0,6130"</f>
        <v>0</v>
      </c>
      <c r="E7" s="29" t="s">
        <v>56</v>
      </c>
      <c r="F7" s="29" t="s">
        <v>57</v>
      </c>
      <c r="G7" s="29" t="s">
        <v>605</v>
      </c>
      <c r="H7" s="29" t="s">
        <v>606</v>
      </c>
      <c r="I7" s="30" t="s">
        <v>500</v>
      </c>
      <c r="J7" s="30"/>
      <c r="K7" s="29">
        <v>262.5</v>
      </c>
      <c r="L7" s="29">
        <f>"160,9125"</f>
        <v>0</v>
      </c>
      <c r="M7" s="29"/>
    </row>
    <row r="9" spans="1:12" ht="15">
      <c r="A9" s="26" t="s">
        <v>148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12.75">
      <c r="A10" s="16" t="s">
        <v>607</v>
      </c>
      <c r="B10" s="16" t="s">
        <v>608</v>
      </c>
      <c r="C10" s="16" t="s">
        <v>609</v>
      </c>
      <c r="D10" s="16">
        <f>"0,5880"</f>
        <v>0</v>
      </c>
      <c r="E10" s="16" t="s">
        <v>56</v>
      </c>
      <c r="F10" s="16" t="s">
        <v>57</v>
      </c>
      <c r="G10" s="16" t="s">
        <v>19</v>
      </c>
      <c r="H10" s="16" t="s">
        <v>36</v>
      </c>
      <c r="I10" s="16" t="s">
        <v>135</v>
      </c>
      <c r="J10" s="17"/>
      <c r="K10" s="16">
        <v>235</v>
      </c>
      <c r="L10" s="16">
        <f>"138,1800"</f>
        <v>0</v>
      </c>
      <c r="M10" s="16"/>
    </row>
    <row r="12" ht="15">
      <c r="E12" s="18" t="s">
        <v>21</v>
      </c>
    </row>
    <row r="13" ht="15">
      <c r="E13" s="18" t="s">
        <v>22</v>
      </c>
    </row>
    <row r="14" ht="15">
      <c r="E14" s="18" t="s">
        <v>23</v>
      </c>
    </row>
    <row r="15" ht="12.75">
      <c r="E15" s="1" t="s">
        <v>24</v>
      </c>
    </row>
    <row r="16" ht="12.75">
      <c r="E16" s="1" t="s">
        <v>25</v>
      </c>
    </row>
    <row r="17" ht="12.75">
      <c r="E17" s="1" t="s">
        <v>26</v>
      </c>
    </row>
    <row r="20" spans="1:2" ht="17.25">
      <c r="A20" s="19" t="s">
        <v>27</v>
      </c>
      <c r="B20" s="19"/>
    </row>
    <row r="21" spans="1:2" ht="15">
      <c r="A21" s="20" t="s">
        <v>28</v>
      </c>
      <c r="B21" s="20"/>
    </row>
    <row r="22" spans="1:2" ht="14.25">
      <c r="A22" s="21" t="s">
        <v>29</v>
      </c>
      <c r="B22" s="22"/>
    </row>
    <row r="23" spans="1:5" ht="13.5">
      <c r="A23" s="23" t="s">
        <v>1</v>
      </c>
      <c r="B23" s="23" t="s">
        <v>30</v>
      </c>
      <c r="C23" s="23" t="s">
        <v>31</v>
      </c>
      <c r="D23" s="23" t="s">
        <v>8</v>
      </c>
      <c r="E23" s="23" t="s">
        <v>32</v>
      </c>
    </row>
    <row r="24" spans="1:5" ht="12.75">
      <c r="A24" s="24" t="s">
        <v>595</v>
      </c>
      <c r="B24" s="1" t="s">
        <v>29</v>
      </c>
      <c r="C24" s="1" t="s">
        <v>33</v>
      </c>
      <c r="D24" s="1" t="s">
        <v>601</v>
      </c>
      <c r="E24" s="25" t="s">
        <v>610</v>
      </c>
    </row>
    <row r="25" spans="1:5" ht="12.75">
      <c r="A25" s="24" t="s">
        <v>602</v>
      </c>
      <c r="B25" s="1" t="s">
        <v>29</v>
      </c>
      <c r="C25" s="1" t="s">
        <v>33</v>
      </c>
      <c r="D25" s="1" t="s">
        <v>606</v>
      </c>
      <c r="E25" s="25" t="s">
        <v>611</v>
      </c>
    </row>
    <row r="26" spans="1:5" ht="12.75">
      <c r="A26" s="24" t="s">
        <v>607</v>
      </c>
      <c r="B26" s="1" t="s">
        <v>29</v>
      </c>
      <c r="C26" s="1" t="s">
        <v>196</v>
      </c>
      <c r="D26" s="1" t="s">
        <v>135</v>
      </c>
      <c r="E26" s="25" t="s">
        <v>612</v>
      </c>
    </row>
  </sheetData>
  <sheetProtection selectLockedCells="1" selectUnlockedCells="1"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00390625" defaultRowHeight="12.75"/>
  <cols>
    <col min="1" max="1" width="28.50390625" style="33" customWidth="1"/>
    <col min="2" max="2" width="26.50390625" style="34" customWidth="1"/>
    <col min="3" max="3" width="7.50390625" style="34" customWidth="1"/>
    <col min="4" max="4" width="6.50390625" style="34" customWidth="1"/>
    <col min="5" max="5" width="17.00390625" style="35" customWidth="1"/>
    <col min="6" max="6" width="7.00390625" style="35" customWidth="1"/>
    <col min="7" max="9" width="5.50390625" style="34" customWidth="1"/>
    <col min="10" max="10" width="4.50390625" style="34" customWidth="1"/>
    <col min="11" max="11" width="6.375" style="33" customWidth="1"/>
    <col min="12" max="12" width="8.50390625" style="34" customWidth="1"/>
    <col min="13" max="13" width="7.125" style="35" customWidth="1"/>
    <col min="14" max="16384" width="9.125" style="3" customWidth="1"/>
  </cols>
  <sheetData>
    <row r="1" spans="1:13" ht="15" customHeight="1">
      <c r="A1" s="51" t="s">
        <v>613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76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243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3" s="34" customFormat="1" ht="15">
      <c r="A5" s="36" t="s">
        <v>148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</row>
    <row r="6" spans="1:13" s="34" customFormat="1" ht="12.75">
      <c r="A6" s="37" t="s">
        <v>614</v>
      </c>
      <c r="B6" s="38" t="s">
        <v>615</v>
      </c>
      <c r="C6" s="38" t="s">
        <v>616</v>
      </c>
      <c r="D6" s="38">
        <f>"0,5867"</f>
        <v>0</v>
      </c>
      <c r="E6" s="39" t="s">
        <v>56</v>
      </c>
      <c r="F6" s="39" t="s">
        <v>57</v>
      </c>
      <c r="G6" s="38" t="s">
        <v>19</v>
      </c>
      <c r="H6" s="38" t="s">
        <v>20</v>
      </c>
      <c r="I6" s="40" t="s">
        <v>131</v>
      </c>
      <c r="J6" s="40"/>
      <c r="K6" s="37">
        <v>230</v>
      </c>
      <c r="L6" s="38">
        <f>"134,9295"</f>
        <v>0</v>
      </c>
      <c r="M6" s="39"/>
    </row>
    <row r="7" spans="1:13" s="34" customFormat="1" ht="12.75">
      <c r="A7" s="33"/>
      <c r="E7" s="35"/>
      <c r="F7" s="35"/>
      <c r="K7" s="33"/>
      <c r="M7" s="35"/>
    </row>
    <row r="8" spans="1:12" ht="15">
      <c r="A8" s="41" t="s">
        <v>417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>
      <c r="A9" s="37" t="s">
        <v>617</v>
      </c>
      <c r="B9" s="38" t="s">
        <v>618</v>
      </c>
      <c r="C9" s="38" t="s">
        <v>619</v>
      </c>
      <c r="D9" s="38">
        <f>"0,5615"</f>
        <v>0</v>
      </c>
      <c r="E9" s="39" t="s">
        <v>403</v>
      </c>
      <c r="F9" s="39" t="s">
        <v>57</v>
      </c>
      <c r="G9" s="38" t="s">
        <v>158</v>
      </c>
      <c r="H9" s="38" t="s">
        <v>168</v>
      </c>
      <c r="I9" s="40" t="s">
        <v>131</v>
      </c>
      <c r="J9" s="40"/>
      <c r="K9" s="37">
        <v>220</v>
      </c>
      <c r="L9" s="38">
        <f>"123,5239"</f>
        <v>0</v>
      </c>
      <c r="M9" s="39"/>
    </row>
    <row r="11" ht="15">
      <c r="E11" s="42" t="s">
        <v>21</v>
      </c>
    </row>
    <row r="12" ht="15">
      <c r="E12" s="42" t="s">
        <v>22</v>
      </c>
    </row>
    <row r="13" ht="15">
      <c r="E13" s="42" t="s">
        <v>23</v>
      </c>
    </row>
    <row r="14" ht="12.75">
      <c r="E14" s="35" t="s">
        <v>24</v>
      </c>
    </row>
    <row r="15" ht="12.75">
      <c r="E15" s="35" t="s">
        <v>25</v>
      </c>
    </row>
    <row r="16" ht="12.75">
      <c r="E16" s="35" t="s">
        <v>26</v>
      </c>
    </row>
    <row r="19" spans="1:2" ht="17.25">
      <c r="A19" s="43" t="s">
        <v>27</v>
      </c>
      <c r="B19" s="44"/>
    </row>
    <row r="20" spans="1:2" ht="15">
      <c r="A20" s="45" t="s">
        <v>28</v>
      </c>
      <c r="B20" s="46"/>
    </row>
    <row r="21" spans="1:2" ht="14.25">
      <c r="A21" s="47" t="s">
        <v>29</v>
      </c>
      <c r="B21" s="48"/>
    </row>
    <row r="22" spans="1:5" ht="13.5">
      <c r="A22" s="49" t="s">
        <v>1</v>
      </c>
      <c r="B22" s="49" t="s">
        <v>30</v>
      </c>
      <c r="C22" s="49" t="s">
        <v>31</v>
      </c>
      <c r="D22" s="49" t="s">
        <v>8</v>
      </c>
      <c r="E22" s="49" t="s">
        <v>32</v>
      </c>
    </row>
    <row r="23" spans="1:5" ht="12.75">
      <c r="A23" s="50" t="s">
        <v>614</v>
      </c>
      <c r="B23" s="34" t="s">
        <v>29</v>
      </c>
      <c r="C23" s="34" t="s">
        <v>196</v>
      </c>
      <c r="D23" s="34" t="s">
        <v>20</v>
      </c>
      <c r="E23" s="33" t="s">
        <v>620</v>
      </c>
    </row>
    <row r="25" spans="1:2" ht="14.25">
      <c r="A25" s="47" t="s">
        <v>201</v>
      </c>
      <c r="B25" s="48"/>
    </row>
    <row r="26" spans="1:5" ht="13.5">
      <c r="A26" s="49" t="s">
        <v>1</v>
      </c>
      <c r="B26" s="49" t="s">
        <v>30</v>
      </c>
      <c r="C26" s="49" t="s">
        <v>31</v>
      </c>
      <c r="D26" s="49" t="s">
        <v>8</v>
      </c>
      <c r="E26" s="49" t="s">
        <v>32</v>
      </c>
    </row>
    <row r="27" spans="1:5" ht="12.75">
      <c r="A27" s="50" t="s">
        <v>617</v>
      </c>
      <c r="B27" s="34" t="s">
        <v>212</v>
      </c>
      <c r="C27" s="34" t="s">
        <v>463</v>
      </c>
      <c r="D27" s="34" t="s">
        <v>168</v>
      </c>
      <c r="E27" s="33" t="s">
        <v>621</v>
      </c>
    </row>
  </sheetData>
  <sheetProtection selectLockedCells="1" selectUnlockedCells="1"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8.625" style="1" customWidth="1"/>
    <col min="7" max="7" width="5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375" style="1" customWidth="1"/>
    <col min="12" max="12" width="9.50390625" style="1" customWidth="1"/>
    <col min="13" max="13" width="7.125" style="1" customWidth="1"/>
  </cols>
  <sheetData>
    <row r="1" spans="1:13" s="3" customFormat="1" ht="15" customHeight="1">
      <c r="A1" s="2" t="s">
        <v>622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623</v>
      </c>
      <c r="C3" s="5" t="s">
        <v>3</v>
      </c>
      <c r="D3" s="6" t="s">
        <v>4</v>
      </c>
      <c r="E3" s="6" t="s">
        <v>5</v>
      </c>
      <c r="F3" s="7" t="s">
        <v>6</v>
      </c>
      <c r="G3" s="52" t="s">
        <v>243</v>
      </c>
      <c r="H3" s="52"/>
      <c r="I3" s="52"/>
      <c r="J3" s="52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624</v>
      </c>
      <c r="H4" s="13" t="s">
        <v>625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114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626</v>
      </c>
      <c r="B6" s="16" t="s">
        <v>627</v>
      </c>
      <c r="C6" s="16" t="s">
        <v>628</v>
      </c>
      <c r="D6" s="16">
        <f>"0,7118"</f>
        <v>0</v>
      </c>
      <c r="E6" s="16" t="s">
        <v>81</v>
      </c>
      <c r="F6" s="16" t="s">
        <v>57</v>
      </c>
      <c r="G6" s="16" t="s">
        <v>285</v>
      </c>
      <c r="H6" s="16" t="s">
        <v>629</v>
      </c>
      <c r="I6" s="17"/>
      <c r="J6" s="17"/>
      <c r="K6" s="16">
        <v>2325</v>
      </c>
      <c r="L6" s="16">
        <f>"1655,0454"</f>
        <v>0</v>
      </c>
      <c r="M6" s="16"/>
    </row>
    <row r="8" spans="1:12" ht="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27" t="s">
        <v>630</v>
      </c>
      <c r="B9" s="27" t="s">
        <v>631</v>
      </c>
      <c r="C9" s="27" t="s">
        <v>138</v>
      </c>
      <c r="D9" s="27">
        <f>"0,6188"</f>
        <v>0</v>
      </c>
      <c r="E9" s="27" t="s">
        <v>56</v>
      </c>
      <c r="F9" s="27" t="s">
        <v>304</v>
      </c>
      <c r="G9" s="27" t="s">
        <v>77</v>
      </c>
      <c r="H9" s="27" t="s">
        <v>632</v>
      </c>
      <c r="I9" s="28"/>
      <c r="J9" s="28"/>
      <c r="K9" s="27">
        <v>1080</v>
      </c>
      <c r="L9" s="27">
        <f>"668,3580"</f>
        <v>0</v>
      </c>
      <c r="M9" s="27"/>
    </row>
    <row r="10" spans="1:13" ht="12.75">
      <c r="A10" s="31" t="s">
        <v>218</v>
      </c>
      <c r="B10" s="31" t="s">
        <v>219</v>
      </c>
      <c r="C10" s="31" t="s">
        <v>539</v>
      </c>
      <c r="D10" s="31">
        <f>"0,6604"</f>
        <v>0</v>
      </c>
      <c r="E10" s="31" t="s">
        <v>56</v>
      </c>
      <c r="F10" s="31" t="s">
        <v>221</v>
      </c>
      <c r="G10" s="31" t="s">
        <v>45</v>
      </c>
      <c r="H10" s="31" t="s">
        <v>633</v>
      </c>
      <c r="I10" s="32"/>
      <c r="J10" s="32"/>
      <c r="K10" s="31">
        <v>2275</v>
      </c>
      <c r="L10" s="31">
        <f>"1502,3581"</f>
        <v>0</v>
      </c>
      <c r="M10" s="31"/>
    </row>
    <row r="11" spans="1:13" ht="12.75">
      <c r="A11" s="29" t="s">
        <v>540</v>
      </c>
      <c r="B11" s="29" t="s">
        <v>541</v>
      </c>
      <c r="C11" s="29" t="s">
        <v>542</v>
      </c>
      <c r="D11" s="29">
        <f>"0,7160"</f>
        <v>0</v>
      </c>
      <c r="E11" s="29" t="s">
        <v>56</v>
      </c>
      <c r="F11" s="29" t="s">
        <v>634</v>
      </c>
      <c r="G11" s="29" t="s">
        <v>77</v>
      </c>
      <c r="H11" s="29" t="s">
        <v>635</v>
      </c>
      <c r="I11" s="30"/>
      <c r="J11" s="30"/>
      <c r="K11" s="29">
        <v>1980</v>
      </c>
      <c r="L11" s="29">
        <f>"1417,5824"</f>
        <v>0</v>
      </c>
      <c r="M11" s="29"/>
    </row>
    <row r="13" spans="1:12" ht="15">
      <c r="A13" s="26" t="s">
        <v>148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3" ht="12.75">
      <c r="A14" s="16" t="s">
        <v>549</v>
      </c>
      <c r="B14" s="16" t="s">
        <v>550</v>
      </c>
      <c r="C14" s="16" t="s">
        <v>551</v>
      </c>
      <c r="D14" s="16">
        <f>"0,5874"</f>
        <v>0</v>
      </c>
      <c r="E14" s="16" t="s">
        <v>56</v>
      </c>
      <c r="F14" s="16" t="s">
        <v>636</v>
      </c>
      <c r="G14" s="16" t="s">
        <v>46</v>
      </c>
      <c r="H14" s="16" t="s">
        <v>637</v>
      </c>
      <c r="I14" s="17"/>
      <c r="J14" s="17"/>
      <c r="K14" s="16">
        <v>2800</v>
      </c>
      <c r="L14" s="16">
        <f>"1644,6234"</f>
        <v>0</v>
      </c>
      <c r="M14" s="16"/>
    </row>
    <row r="16" spans="1:12" ht="15">
      <c r="A16" s="26" t="s">
        <v>160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3" ht="12.75">
      <c r="A17" s="27" t="s">
        <v>638</v>
      </c>
      <c r="B17" s="27" t="s">
        <v>639</v>
      </c>
      <c r="C17" s="27" t="s">
        <v>640</v>
      </c>
      <c r="D17" s="27">
        <f>"0,5796"</f>
        <v>0</v>
      </c>
      <c r="E17" s="27" t="s">
        <v>56</v>
      </c>
      <c r="F17" s="27" t="s">
        <v>304</v>
      </c>
      <c r="G17" s="27" t="s">
        <v>59</v>
      </c>
      <c r="H17" s="27" t="s">
        <v>633</v>
      </c>
      <c r="I17" s="28"/>
      <c r="J17" s="28"/>
      <c r="K17" s="27">
        <v>2665</v>
      </c>
      <c r="L17" s="27">
        <f>"1544,7672"</f>
        <v>0</v>
      </c>
      <c r="M17" s="27"/>
    </row>
    <row r="18" spans="1:13" ht="12.75">
      <c r="A18" s="31" t="s">
        <v>641</v>
      </c>
      <c r="B18" s="31" t="s">
        <v>642</v>
      </c>
      <c r="C18" s="31" t="s">
        <v>643</v>
      </c>
      <c r="D18" s="31">
        <f>"0,5971"</f>
        <v>0</v>
      </c>
      <c r="E18" s="31" t="s">
        <v>56</v>
      </c>
      <c r="F18" s="31" t="s">
        <v>57</v>
      </c>
      <c r="G18" s="31" t="s">
        <v>59</v>
      </c>
      <c r="H18" s="31" t="s">
        <v>644</v>
      </c>
      <c r="I18" s="32"/>
      <c r="J18" s="32"/>
      <c r="K18" s="31">
        <v>0</v>
      </c>
      <c r="L18" s="31">
        <f>"0,0000"</f>
        <v>0</v>
      </c>
      <c r="M18" s="31"/>
    </row>
    <row r="19" spans="1:13" ht="12.75">
      <c r="A19" s="29" t="s">
        <v>555</v>
      </c>
      <c r="B19" s="29" t="s">
        <v>556</v>
      </c>
      <c r="C19" s="29" t="s">
        <v>557</v>
      </c>
      <c r="D19" s="29">
        <f>"0,6522"</f>
        <v>0</v>
      </c>
      <c r="E19" s="29" t="s">
        <v>247</v>
      </c>
      <c r="F19" s="29" t="s">
        <v>390</v>
      </c>
      <c r="G19" s="29" t="s">
        <v>60</v>
      </c>
      <c r="H19" s="29" t="s">
        <v>635</v>
      </c>
      <c r="I19" s="30"/>
      <c r="J19" s="30"/>
      <c r="K19" s="29">
        <v>2365</v>
      </c>
      <c r="L19" s="29">
        <f>"1542,5514"</f>
        <v>0</v>
      </c>
      <c r="M19" s="29"/>
    </row>
    <row r="21" spans="1:12" ht="15">
      <c r="A21" s="26" t="s">
        <v>165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ht="12.75">
      <c r="A22" s="16" t="s">
        <v>645</v>
      </c>
      <c r="B22" s="16" t="s">
        <v>646</v>
      </c>
      <c r="C22" s="16" t="s">
        <v>647</v>
      </c>
      <c r="D22" s="16">
        <f>"0,5579"</f>
        <v>0</v>
      </c>
      <c r="E22" s="16" t="s">
        <v>109</v>
      </c>
      <c r="F22" s="16" t="s">
        <v>57</v>
      </c>
      <c r="G22" s="16" t="s">
        <v>339</v>
      </c>
      <c r="H22" s="16" t="s">
        <v>648</v>
      </c>
      <c r="I22" s="17"/>
      <c r="J22" s="17"/>
      <c r="K22" s="16">
        <v>3335</v>
      </c>
      <c r="L22" s="16">
        <f>"1860,4298"</f>
        <v>0</v>
      </c>
      <c r="M22" s="16"/>
    </row>
    <row r="24" ht="15">
      <c r="E24" s="18" t="s">
        <v>21</v>
      </c>
    </row>
    <row r="25" ht="15">
      <c r="E25" s="18" t="s">
        <v>22</v>
      </c>
    </row>
    <row r="26" ht="15">
      <c r="E26" s="18" t="s">
        <v>23</v>
      </c>
    </row>
    <row r="27" ht="12.75">
      <c r="E27" s="1" t="s">
        <v>24</v>
      </c>
    </row>
    <row r="28" ht="12.75">
      <c r="E28" s="1" t="s">
        <v>25</v>
      </c>
    </row>
    <row r="29" ht="12.75">
      <c r="E29" s="1" t="s">
        <v>26</v>
      </c>
    </row>
    <row r="32" spans="1:2" ht="17.25">
      <c r="A32" s="19" t="s">
        <v>27</v>
      </c>
      <c r="B32" s="19"/>
    </row>
    <row r="33" spans="1:2" ht="15">
      <c r="A33" s="20" t="s">
        <v>28</v>
      </c>
      <c r="B33" s="20"/>
    </row>
    <row r="34" spans="1:2" ht="14.25">
      <c r="A34" s="21" t="s">
        <v>29</v>
      </c>
      <c r="B34" s="22"/>
    </row>
    <row r="35" spans="1:5" ht="13.5">
      <c r="A35" s="23" t="s">
        <v>1</v>
      </c>
      <c r="B35" s="23" t="s">
        <v>30</v>
      </c>
      <c r="C35" s="23" t="s">
        <v>31</v>
      </c>
      <c r="D35" s="23" t="s">
        <v>8</v>
      </c>
      <c r="E35" s="23" t="s">
        <v>32</v>
      </c>
    </row>
    <row r="36" spans="1:5" ht="12.75">
      <c r="A36" s="24" t="s">
        <v>645</v>
      </c>
      <c r="B36" s="1" t="s">
        <v>29</v>
      </c>
      <c r="C36" s="1" t="s">
        <v>193</v>
      </c>
      <c r="D36" s="1" t="s">
        <v>649</v>
      </c>
      <c r="E36" s="25" t="s">
        <v>650</v>
      </c>
    </row>
    <row r="37" spans="1:5" ht="12.75">
      <c r="A37" s="24" t="s">
        <v>638</v>
      </c>
      <c r="B37" s="1" t="s">
        <v>29</v>
      </c>
      <c r="C37" s="1" t="s">
        <v>190</v>
      </c>
      <c r="D37" s="1" t="s">
        <v>651</v>
      </c>
      <c r="E37" s="25" t="s">
        <v>652</v>
      </c>
    </row>
    <row r="38" spans="1:5" ht="12.75">
      <c r="A38" s="24" t="s">
        <v>630</v>
      </c>
      <c r="B38" s="1" t="s">
        <v>29</v>
      </c>
      <c r="C38" s="1" t="s">
        <v>33</v>
      </c>
      <c r="D38" s="1" t="s">
        <v>653</v>
      </c>
      <c r="E38" s="25" t="s">
        <v>654</v>
      </c>
    </row>
    <row r="40" spans="1:2" ht="14.25">
      <c r="A40" s="21" t="s">
        <v>201</v>
      </c>
      <c r="B40" s="22"/>
    </row>
    <row r="41" spans="1:5" ht="13.5">
      <c r="A41" s="23" t="s">
        <v>1</v>
      </c>
      <c r="B41" s="23" t="s">
        <v>30</v>
      </c>
      <c r="C41" s="23" t="s">
        <v>31</v>
      </c>
      <c r="D41" s="23" t="s">
        <v>8</v>
      </c>
      <c r="E41" s="23" t="s">
        <v>32</v>
      </c>
    </row>
    <row r="42" spans="1:5" ht="12.75">
      <c r="A42" s="24" t="s">
        <v>626</v>
      </c>
      <c r="B42" s="1" t="s">
        <v>212</v>
      </c>
      <c r="C42" s="1" t="s">
        <v>199</v>
      </c>
      <c r="D42" s="1" t="s">
        <v>655</v>
      </c>
      <c r="E42" s="25" t="s">
        <v>656</v>
      </c>
    </row>
    <row r="43" spans="1:5" ht="12.75">
      <c r="A43" s="24" t="s">
        <v>549</v>
      </c>
      <c r="B43" s="1" t="s">
        <v>212</v>
      </c>
      <c r="C43" s="1" t="s">
        <v>196</v>
      </c>
      <c r="D43" s="1" t="s">
        <v>657</v>
      </c>
      <c r="E43" s="25" t="s">
        <v>658</v>
      </c>
    </row>
    <row r="44" spans="1:5" ht="12.75">
      <c r="A44" s="24" t="s">
        <v>555</v>
      </c>
      <c r="B44" s="1" t="s">
        <v>202</v>
      </c>
      <c r="C44" s="1" t="s">
        <v>190</v>
      </c>
      <c r="D44" s="1" t="s">
        <v>659</v>
      </c>
      <c r="E44" s="25" t="s">
        <v>660</v>
      </c>
    </row>
    <row r="45" spans="1:5" ht="12.75">
      <c r="A45" s="24" t="s">
        <v>218</v>
      </c>
      <c r="B45" s="1" t="s">
        <v>240</v>
      </c>
      <c r="C45" s="1" t="s">
        <v>33</v>
      </c>
      <c r="D45" s="1" t="s">
        <v>661</v>
      </c>
      <c r="E45" s="25" t="s">
        <v>662</v>
      </c>
    </row>
    <row r="46" spans="1:5" ht="12.75">
      <c r="A46" s="24" t="s">
        <v>540</v>
      </c>
      <c r="B46" s="1" t="s">
        <v>202</v>
      </c>
      <c r="C46" s="1" t="s">
        <v>33</v>
      </c>
      <c r="D46" s="1" t="s">
        <v>663</v>
      </c>
      <c r="E46" s="25" t="s">
        <v>664</v>
      </c>
    </row>
  </sheetData>
  <sheetProtection selectLockedCells="1" selectUnlockedCells="1"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3:L13"/>
    <mergeCell ref="A16:L16"/>
    <mergeCell ref="A21:L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8.625" style="1" customWidth="1"/>
    <col min="7" max="7" width="5.50390625" style="1" customWidth="1"/>
    <col min="8" max="8" width="7.375" style="1" customWidth="1"/>
    <col min="9" max="9" width="2.125" style="1" customWidth="1"/>
    <col min="10" max="10" width="4.50390625" style="1" customWidth="1"/>
    <col min="11" max="11" width="6.375" style="1" customWidth="1"/>
    <col min="12" max="12" width="9.50390625" style="1" customWidth="1"/>
    <col min="13" max="13" width="12.625" style="1" customWidth="1"/>
  </cols>
  <sheetData>
    <row r="1" spans="1:13" s="3" customFormat="1" ht="15" customHeight="1">
      <c r="A1" s="2" t="s">
        <v>665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623</v>
      </c>
      <c r="C3" s="5" t="s">
        <v>3</v>
      </c>
      <c r="D3" s="6" t="s">
        <v>4</v>
      </c>
      <c r="E3" s="6" t="s">
        <v>5</v>
      </c>
      <c r="F3" s="7" t="s">
        <v>6</v>
      </c>
      <c r="G3" s="52" t="s">
        <v>243</v>
      </c>
      <c r="H3" s="52"/>
      <c r="I3" s="52"/>
      <c r="J3" s="52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624</v>
      </c>
      <c r="H4" s="13" t="s">
        <v>625</v>
      </c>
      <c r="I4" s="13">
        <v>3</v>
      </c>
      <c r="J4" s="14" t="s">
        <v>11</v>
      </c>
      <c r="K4" s="6"/>
      <c r="L4" s="6"/>
      <c r="M4" s="10"/>
    </row>
    <row r="5" spans="1:12" ht="1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666</v>
      </c>
      <c r="B6" s="16" t="s">
        <v>667</v>
      </c>
      <c r="C6" s="16" t="s">
        <v>668</v>
      </c>
      <c r="D6" s="16">
        <f>"1,2089"</f>
        <v>0</v>
      </c>
      <c r="E6" s="16" t="s">
        <v>56</v>
      </c>
      <c r="F6" s="16" t="s">
        <v>57</v>
      </c>
      <c r="G6" s="16" t="s">
        <v>280</v>
      </c>
      <c r="H6" s="16" t="s">
        <v>635</v>
      </c>
      <c r="I6" s="17"/>
      <c r="J6" s="17"/>
      <c r="K6" s="16">
        <v>1100</v>
      </c>
      <c r="L6" s="16">
        <f>"1329,8170"</f>
        <v>0</v>
      </c>
      <c r="M6" s="16" t="s">
        <v>669</v>
      </c>
    </row>
    <row r="8" spans="1:12" ht="1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298</v>
      </c>
      <c r="B9" s="16" t="s">
        <v>299</v>
      </c>
      <c r="C9" s="16" t="s">
        <v>300</v>
      </c>
      <c r="D9" s="16">
        <f>"0,7551"</f>
        <v>0</v>
      </c>
      <c r="E9" s="16" t="s">
        <v>56</v>
      </c>
      <c r="F9" s="16" t="s">
        <v>57</v>
      </c>
      <c r="G9" s="16" t="s">
        <v>265</v>
      </c>
      <c r="H9" s="16" t="s">
        <v>670</v>
      </c>
      <c r="I9" s="17"/>
      <c r="J9" s="17"/>
      <c r="K9" s="16">
        <v>2227.5</v>
      </c>
      <c r="L9" s="16">
        <f>"1681,9853"</f>
        <v>0</v>
      </c>
      <c r="M9" s="16"/>
    </row>
    <row r="11" spans="1:12" ht="15">
      <c r="A11" s="26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16" t="s">
        <v>671</v>
      </c>
      <c r="B12" s="16" t="s">
        <v>672</v>
      </c>
      <c r="C12" s="16" t="s">
        <v>673</v>
      </c>
      <c r="D12" s="16">
        <f>"0,6983"</f>
        <v>0</v>
      </c>
      <c r="E12" s="16" t="s">
        <v>56</v>
      </c>
      <c r="F12" s="16" t="s">
        <v>674</v>
      </c>
      <c r="G12" s="16" t="s">
        <v>66</v>
      </c>
      <c r="H12" s="16" t="s">
        <v>675</v>
      </c>
      <c r="I12" s="17"/>
      <c r="J12" s="17"/>
      <c r="K12" s="16">
        <v>2025</v>
      </c>
      <c r="L12" s="16">
        <f>"1414,0575"</f>
        <v>0</v>
      </c>
      <c r="M12" s="16"/>
    </row>
    <row r="14" spans="1:12" ht="15">
      <c r="A14" s="26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3" ht="12.75">
      <c r="A15" s="27" t="s">
        <v>676</v>
      </c>
      <c r="B15" s="27" t="s">
        <v>677</v>
      </c>
      <c r="C15" s="27" t="s">
        <v>678</v>
      </c>
      <c r="D15" s="27">
        <f>"0,6349"</f>
        <v>0</v>
      </c>
      <c r="E15" s="27" t="s">
        <v>56</v>
      </c>
      <c r="F15" s="27" t="s">
        <v>57</v>
      </c>
      <c r="G15" s="27" t="s">
        <v>76</v>
      </c>
      <c r="H15" s="27" t="s">
        <v>679</v>
      </c>
      <c r="I15" s="28"/>
      <c r="J15" s="28"/>
      <c r="K15" s="27">
        <v>2635</v>
      </c>
      <c r="L15" s="27">
        <f>"1673,0932"</f>
        <v>0</v>
      </c>
      <c r="M15" s="27"/>
    </row>
    <row r="16" spans="1:13" ht="12.75">
      <c r="A16" s="29" t="s">
        <v>375</v>
      </c>
      <c r="B16" s="29" t="s">
        <v>376</v>
      </c>
      <c r="C16" s="29" t="s">
        <v>377</v>
      </c>
      <c r="D16" s="29">
        <f>"0,6595"</f>
        <v>0</v>
      </c>
      <c r="E16" s="29" t="s">
        <v>56</v>
      </c>
      <c r="F16" s="29" t="s">
        <v>378</v>
      </c>
      <c r="G16" s="30" t="s">
        <v>45</v>
      </c>
      <c r="H16" s="30"/>
      <c r="I16" s="30"/>
      <c r="J16" s="30"/>
      <c r="K16" s="29">
        <v>0</v>
      </c>
      <c r="L16" s="29">
        <f>"0,0000"</f>
        <v>0</v>
      </c>
      <c r="M16" s="29"/>
    </row>
    <row r="18" spans="1:12" ht="15">
      <c r="A18" s="26" t="s">
        <v>148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 ht="12.75">
      <c r="A19" s="27" t="s">
        <v>387</v>
      </c>
      <c r="B19" s="27" t="s">
        <v>388</v>
      </c>
      <c r="C19" s="27" t="s">
        <v>389</v>
      </c>
      <c r="D19" s="27">
        <f>"0,5828"</f>
        <v>0</v>
      </c>
      <c r="E19" s="27" t="s">
        <v>247</v>
      </c>
      <c r="F19" s="27" t="s">
        <v>390</v>
      </c>
      <c r="G19" s="27" t="s">
        <v>46</v>
      </c>
      <c r="H19" s="27" t="s">
        <v>629</v>
      </c>
      <c r="I19" s="28"/>
      <c r="J19" s="28"/>
      <c r="K19" s="27">
        <v>3000</v>
      </c>
      <c r="L19" s="27">
        <f>"1748,3999"</f>
        <v>0</v>
      </c>
      <c r="M19" s="27"/>
    </row>
    <row r="20" spans="1:13" ht="12.75">
      <c r="A20" s="29" t="s">
        <v>383</v>
      </c>
      <c r="B20" s="29" t="s">
        <v>384</v>
      </c>
      <c r="C20" s="29" t="s">
        <v>385</v>
      </c>
      <c r="D20" s="29">
        <f>"0,5987"</f>
        <v>0</v>
      </c>
      <c r="E20" s="29" t="s">
        <v>109</v>
      </c>
      <c r="F20" s="29" t="s">
        <v>57</v>
      </c>
      <c r="G20" s="29" t="s">
        <v>72</v>
      </c>
      <c r="H20" s="29" t="s">
        <v>675</v>
      </c>
      <c r="I20" s="30"/>
      <c r="J20" s="30"/>
      <c r="K20" s="29">
        <v>2565</v>
      </c>
      <c r="L20" s="29">
        <f>"1535,6655"</f>
        <v>0</v>
      </c>
      <c r="M20" s="29"/>
    </row>
    <row r="22" spans="1:12" ht="15">
      <c r="A22" s="26" t="s">
        <v>417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 ht="12.75">
      <c r="A23" s="16" t="s">
        <v>418</v>
      </c>
      <c r="B23" s="16" t="s">
        <v>419</v>
      </c>
      <c r="C23" s="16" t="s">
        <v>420</v>
      </c>
      <c r="D23" s="16">
        <f>"0,5520"</f>
        <v>0</v>
      </c>
      <c r="E23" s="16" t="s">
        <v>56</v>
      </c>
      <c r="F23" s="16" t="s">
        <v>421</v>
      </c>
      <c r="G23" s="16" t="s">
        <v>119</v>
      </c>
      <c r="H23" s="16" t="s">
        <v>680</v>
      </c>
      <c r="I23" s="17"/>
      <c r="J23" s="17"/>
      <c r="K23" s="16">
        <v>1170</v>
      </c>
      <c r="L23" s="16">
        <f>"645,8800"</f>
        <v>0</v>
      </c>
      <c r="M23" s="16"/>
    </row>
    <row r="25" ht="15">
      <c r="E25" s="18" t="s">
        <v>21</v>
      </c>
    </row>
    <row r="26" ht="15">
      <c r="E26" s="18" t="s">
        <v>22</v>
      </c>
    </row>
    <row r="27" ht="15">
      <c r="E27" s="18" t="s">
        <v>23</v>
      </c>
    </row>
    <row r="28" ht="12.75">
      <c r="E28" s="1" t="s">
        <v>24</v>
      </c>
    </row>
    <row r="29" ht="12.75">
      <c r="E29" s="1" t="s">
        <v>25</v>
      </c>
    </row>
    <row r="30" ht="12.75">
      <c r="E30" s="1" t="s">
        <v>26</v>
      </c>
    </row>
    <row r="33" spans="1:2" ht="17.25">
      <c r="A33" s="19" t="s">
        <v>27</v>
      </c>
      <c r="B33" s="19"/>
    </row>
    <row r="34" spans="1:2" ht="15">
      <c r="A34" s="20" t="s">
        <v>169</v>
      </c>
      <c r="B34" s="20"/>
    </row>
    <row r="35" spans="1:2" ht="14.25">
      <c r="A35" s="21" t="s">
        <v>201</v>
      </c>
      <c r="B35" s="22"/>
    </row>
    <row r="36" spans="1:5" ht="13.5">
      <c r="A36" s="23" t="s">
        <v>1</v>
      </c>
      <c r="B36" s="23" t="s">
        <v>30</v>
      </c>
      <c r="C36" s="23" t="s">
        <v>31</v>
      </c>
      <c r="D36" s="23" t="s">
        <v>8</v>
      </c>
      <c r="E36" s="23" t="s">
        <v>32</v>
      </c>
    </row>
    <row r="37" spans="1:5" ht="12.75">
      <c r="A37" s="24" t="s">
        <v>666</v>
      </c>
      <c r="B37" s="1" t="s">
        <v>240</v>
      </c>
      <c r="C37" s="1" t="s">
        <v>173</v>
      </c>
      <c r="D37" s="1" t="s">
        <v>681</v>
      </c>
      <c r="E37" s="25" t="s">
        <v>682</v>
      </c>
    </row>
    <row r="40" spans="1:2" ht="15">
      <c r="A40" s="20" t="s">
        <v>28</v>
      </c>
      <c r="B40" s="20"/>
    </row>
    <row r="41" spans="1:2" ht="14.25">
      <c r="A41" s="21" t="s">
        <v>29</v>
      </c>
      <c r="B41" s="22"/>
    </row>
    <row r="42" spans="1:5" ht="13.5">
      <c r="A42" s="23" t="s">
        <v>1</v>
      </c>
      <c r="B42" s="23" t="s">
        <v>30</v>
      </c>
      <c r="C42" s="23" t="s">
        <v>31</v>
      </c>
      <c r="D42" s="23" t="s">
        <v>8</v>
      </c>
      <c r="E42" s="23" t="s">
        <v>32</v>
      </c>
    </row>
    <row r="43" spans="1:5" ht="12.75">
      <c r="A43" s="24" t="s">
        <v>387</v>
      </c>
      <c r="B43" s="1" t="s">
        <v>29</v>
      </c>
      <c r="C43" s="1" t="s">
        <v>196</v>
      </c>
      <c r="D43" s="1" t="s">
        <v>683</v>
      </c>
      <c r="E43" s="25" t="s">
        <v>684</v>
      </c>
    </row>
    <row r="44" spans="1:5" ht="12.75">
      <c r="A44" s="24" t="s">
        <v>298</v>
      </c>
      <c r="B44" s="1" t="s">
        <v>29</v>
      </c>
      <c r="C44" s="1" t="s">
        <v>171</v>
      </c>
      <c r="D44" s="1" t="s">
        <v>685</v>
      </c>
      <c r="E44" s="25" t="s">
        <v>686</v>
      </c>
    </row>
    <row r="45" spans="1:5" ht="12.75">
      <c r="A45" s="24" t="s">
        <v>676</v>
      </c>
      <c r="B45" s="1" t="s">
        <v>29</v>
      </c>
      <c r="C45" s="1" t="s">
        <v>33</v>
      </c>
      <c r="D45" s="1" t="s">
        <v>687</v>
      </c>
      <c r="E45" s="25" t="s">
        <v>688</v>
      </c>
    </row>
    <row r="46" spans="1:5" ht="12.75">
      <c r="A46" s="24" t="s">
        <v>383</v>
      </c>
      <c r="B46" s="1" t="s">
        <v>29</v>
      </c>
      <c r="C46" s="1" t="s">
        <v>196</v>
      </c>
      <c r="D46" s="1" t="s">
        <v>689</v>
      </c>
      <c r="E46" s="25" t="s">
        <v>690</v>
      </c>
    </row>
    <row r="47" spans="1:5" ht="12.75">
      <c r="A47" s="24" t="s">
        <v>671</v>
      </c>
      <c r="B47" s="1" t="s">
        <v>29</v>
      </c>
      <c r="C47" s="1" t="s">
        <v>175</v>
      </c>
      <c r="D47" s="1" t="s">
        <v>691</v>
      </c>
      <c r="E47" s="25" t="s">
        <v>692</v>
      </c>
    </row>
    <row r="49" spans="1:2" ht="14.25">
      <c r="A49" s="21" t="s">
        <v>201</v>
      </c>
      <c r="B49" s="22"/>
    </row>
    <row r="50" spans="1:5" ht="13.5">
      <c r="A50" s="23" t="s">
        <v>1</v>
      </c>
      <c r="B50" s="23" t="s">
        <v>30</v>
      </c>
      <c r="C50" s="23" t="s">
        <v>31</v>
      </c>
      <c r="D50" s="23" t="s">
        <v>8</v>
      </c>
      <c r="E50" s="23" t="s">
        <v>32</v>
      </c>
    </row>
    <row r="51" spans="1:5" ht="12.75">
      <c r="A51" s="24" t="s">
        <v>418</v>
      </c>
      <c r="B51" s="1" t="s">
        <v>212</v>
      </c>
      <c r="C51" s="1" t="s">
        <v>463</v>
      </c>
      <c r="D51" s="1" t="s">
        <v>693</v>
      </c>
      <c r="E51" s="25" t="s">
        <v>694</v>
      </c>
    </row>
  </sheetData>
  <sheetProtection selectLockedCells="1" selectUnlockedCells="1"/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  <mergeCell ref="A18:L18"/>
    <mergeCell ref="A22:L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2.75"/>
  <cols>
    <col min="1" max="1" width="28.50390625" style="33" customWidth="1"/>
    <col min="2" max="2" width="19.125" style="34" customWidth="1"/>
    <col min="3" max="3" width="6.875" style="34" customWidth="1"/>
    <col min="4" max="4" width="6.50390625" style="34" customWidth="1"/>
    <col min="5" max="5" width="17.00390625" style="35" customWidth="1"/>
    <col min="6" max="6" width="7.00390625" style="35" customWidth="1"/>
    <col min="7" max="7" width="4.50390625" style="34" customWidth="1"/>
    <col min="8" max="8" width="7.375" style="34" customWidth="1"/>
    <col min="9" max="9" width="2.125" style="34" customWidth="1"/>
    <col min="10" max="10" width="4.50390625" style="34" customWidth="1"/>
    <col min="11" max="11" width="6.375" style="33" customWidth="1"/>
    <col min="12" max="12" width="8.50390625" style="34" customWidth="1"/>
    <col min="13" max="13" width="18.25390625" style="35" customWidth="1"/>
    <col min="14" max="16384" width="9.125" style="3" customWidth="1"/>
  </cols>
  <sheetData>
    <row r="1" spans="1:13" ht="15" customHeight="1">
      <c r="A1" s="2" t="s">
        <v>695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623</v>
      </c>
      <c r="C3" s="5" t="s">
        <v>3</v>
      </c>
      <c r="D3" s="6" t="s">
        <v>4</v>
      </c>
      <c r="E3" s="6" t="s">
        <v>5</v>
      </c>
      <c r="F3" s="7" t="s">
        <v>6</v>
      </c>
      <c r="G3" s="52" t="s">
        <v>243</v>
      </c>
      <c r="H3" s="52"/>
      <c r="I3" s="52"/>
      <c r="J3" s="52"/>
      <c r="K3" s="6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3" t="s">
        <v>624</v>
      </c>
      <c r="H4" s="13" t="s">
        <v>625</v>
      </c>
      <c r="I4" s="13">
        <v>3</v>
      </c>
      <c r="J4" s="14" t="s">
        <v>11</v>
      </c>
      <c r="K4" s="6"/>
      <c r="L4" s="6"/>
      <c r="M4" s="10"/>
    </row>
    <row r="5" spans="1:13" s="34" customFormat="1" ht="1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</row>
    <row r="6" spans="1:13" s="34" customFormat="1" ht="12.75">
      <c r="A6" s="37" t="s">
        <v>215</v>
      </c>
      <c r="B6" s="38" t="s">
        <v>216</v>
      </c>
      <c r="C6" s="38" t="s">
        <v>696</v>
      </c>
      <c r="D6" s="38">
        <f>"1,0926"</f>
        <v>0</v>
      </c>
      <c r="E6" s="39" t="s">
        <v>109</v>
      </c>
      <c r="F6" s="39" t="s">
        <v>57</v>
      </c>
      <c r="G6" s="38" t="s">
        <v>697</v>
      </c>
      <c r="H6" s="38" t="s">
        <v>629</v>
      </c>
      <c r="I6" s="40"/>
      <c r="J6" s="40"/>
      <c r="K6" s="37">
        <v>825</v>
      </c>
      <c r="L6" s="38">
        <f>"901,3950"</f>
        <v>0</v>
      </c>
      <c r="M6" s="39"/>
    </row>
    <row r="7" spans="1:13" s="34" customFormat="1" ht="12.75">
      <c r="A7" s="33"/>
      <c r="E7" s="35"/>
      <c r="F7" s="35"/>
      <c r="K7" s="33"/>
      <c r="M7" s="35"/>
    </row>
    <row r="8" ht="15">
      <c r="E8" s="42" t="s">
        <v>21</v>
      </c>
    </row>
    <row r="9" ht="15">
      <c r="E9" s="42" t="s">
        <v>22</v>
      </c>
    </row>
    <row r="10" ht="15">
      <c r="E10" s="42" t="s">
        <v>23</v>
      </c>
    </row>
    <row r="11" ht="12.75">
      <c r="E11" s="35" t="s">
        <v>24</v>
      </c>
    </row>
    <row r="12" ht="12.75">
      <c r="E12" s="35" t="s">
        <v>25</v>
      </c>
    </row>
    <row r="13" ht="12.75">
      <c r="E13" s="35" t="s">
        <v>26</v>
      </c>
    </row>
    <row r="16" spans="1:2" ht="17.25">
      <c r="A16" s="43" t="s">
        <v>27</v>
      </c>
      <c r="B16" s="44"/>
    </row>
    <row r="17" spans="1:2" ht="15">
      <c r="A17" s="45" t="s">
        <v>169</v>
      </c>
      <c r="B17" s="46"/>
    </row>
    <row r="18" spans="1:2" ht="14.25">
      <c r="A18" s="47" t="s">
        <v>29</v>
      </c>
      <c r="B18" s="48"/>
    </row>
    <row r="19" spans="1:5" ht="13.5">
      <c r="A19" s="49" t="s">
        <v>1</v>
      </c>
      <c r="B19" s="49" t="s">
        <v>30</v>
      </c>
      <c r="C19" s="49" t="s">
        <v>31</v>
      </c>
      <c r="D19" s="49" t="s">
        <v>8</v>
      </c>
      <c r="E19" s="49" t="s">
        <v>32</v>
      </c>
    </row>
    <row r="20" spans="1:5" ht="12.75">
      <c r="A20" s="50" t="s">
        <v>215</v>
      </c>
      <c r="B20" s="34" t="s">
        <v>29</v>
      </c>
      <c r="C20" s="34" t="s">
        <v>422</v>
      </c>
      <c r="D20" s="34" t="s">
        <v>698</v>
      </c>
      <c r="E20" s="33" t="s">
        <v>699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19.1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30.1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13</v>
      </c>
      <c r="B6" s="16" t="s">
        <v>14</v>
      </c>
      <c r="C6" s="16" t="s">
        <v>15</v>
      </c>
      <c r="D6" s="16">
        <f>"0,5857"</f>
        <v>0</v>
      </c>
      <c r="E6" s="16" t="s">
        <v>16</v>
      </c>
      <c r="F6" s="16" t="s">
        <v>17</v>
      </c>
      <c r="G6" s="16" t="s">
        <v>18</v>
      </c>
      <c r="H6" s="16" t="s">
        <v>19</v>
      </c>
      <c r="I6" s="16" t="s">
        <v>36</v>
      </c>
      <c r="J6" s="17"/>
      <c r="K6" s="16">
        <v>225</v>
      </c>
      <c r="L6" s="16">
        <f>"131,7825"</f>
        <v>0</v>
      </c>
      <c r="M6" s="16"/>
    </row>
    <row r="8" ht="15">
      <c r="E8" s="18" t="s">
        <v>21</v>
      </c>
    </row>
    <row r="9" ht="15">
      <c r="E9" s="18" t="s">
        <v>22</v>
      </c>
    </row>
    <row r="10" ht="15">
      <c r="E10" s="18" t="s">
        <v>23</v>
      </c>
    </row>
    <row r="11" ht="12.75">
      <c r="E11" s="1" t="s">
        <v>24</v>
      </c>
    </row>
    <row r="12" ht="12.75">
      <c r="E12" s="1" t="s">
        <v>25</v>
      </c>
    </row>
    <row r="13" ht="12.75">
      <c r="E13" s="1" t="s">
        <v>26</v>
      </c>
    </row>
    <row r="16" spans="1:2" ht="17.25">
      <c r="A16" s="19" t="s">
        <v>27</v>
      </c>
      <c r="B16" s="19"/>
    </row>
    <row r="17" spans="1:2" ht="15">
      <c r="A17" s="20" t="s">
        <v>28</v>
      </c>
      <c r="B17" s="20"/>
    </row>
    <row r="18" spans="1:2" ht="14.25">
      <c r="A18" s="21" t="s">
        <v>29</v>
      </c>
      <c r="B18" s="22"/>
    </row>
    <row r="19" spans="1:5" ht="13.5">
      <c r="A19" s="23" t="s">
        <v>1</v>
      </c>
      <c r="B19" s="23" t="s">
        <v>30</v>
      </c>
      <c r="C19" s="23" t="s">
        <v>31</v>
      </c>
      <c r="D19" s="23" t="s">
        <v>8</v>
      </c>
      <c r="E19" s="23" t="s">
        <v>32</v>
      </c>
    </row>
    <row r="20" spans="1:5" ht="12.75">
      <c r="A20" s="24" t="s">
        <v>13</v>
      </c>
      <c r="B20" s="1" t="s">
        <v>29</v>
      </c>
      <c r="C20" s="1" t="s">
        <v>33</v>
      </c>
      <c r="D20" s="1" t="s">
        <v>36</v>
      </c>
      <c r="E20" s="25" t="s">
        <v>37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30.50390625" style="1" customWidth="1"/>
    <col min="3" max="3" width="7.50390625" style="1" customWidth="1"/>
    <col min="4" max="4" width="6.50390625" style="1" customWidth="1"/>
    <col min="5" max="5" width="21.375" style="1" customWidth="1"/>
    <col min="6" max="6" width="34.0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15.00390625" style="1" customWidth="1"/>
  </cols>
  <sheetData>
    <row r="1" spans="1:13" s="3" customFormat="1" ht="1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40</v>
      </c>
      <c r="B6" s="16" t="s">
        <v>41</v>
      </c>
      <c r="C6" s="16" t="s">
        <v>42</v>
      </c>
      <c r="D6" s="16">
        <f>"0,9731"</f>
        <v>0</v>
      </c>
      <c r="E6" s="16" t="s">
        <v>43</v>
      </c>
      <c r="F6" s="16" t="s">
        <v>44</v>
      </c>
      <c r="G6" s="16" t="s">
        <v>45</v>
      </c>
      <c r="H6" s="17" t="s">
        <v>46</v>
      </c>
      <c r="I6" s="17" t="s">
        <v>46</v>
      </c>
      <c r="J6" s="17"/>
      <c r="K6" s="16">
        <v>87.5</v>
      </c>
      <c r="L6" s="16">
        <f>"85,1463"</f>
        <v>0</v>
      </c>
      <c r="M6" s="16"/>
    </row>
    <row r="8" spans="1:12" ht="15">
      <c r="A8" s="26" t="s">
        <v>47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48</v>
      </c>
      <c r="B9" s="16" t="s">
        <v>49</v>
      </c>
      <c r="C9" s="16" t="s">
        <v>50</v>
      </c>
      <c r="D9" s="16">
        <f>"0,9236"</f>
        <v>0</v>
      </c>
      <c r="E9" s="16" t="s">
        <v>43</v>
      </c>
      <c r="F9" s="16" t="s">
        <v>44</v>
      </c>
      <c r="G9" s="17" t="s">
        <v>51</v>
      </c>
      <c r="H9" s="17" t="s">
        <v>51</v>
      </c>
      <c r="I9" s="17" t="s">
        <v>51</v>
      </c>
      <c r="J9" s="17"/>
      <c r="K9" s="16">
        <v>0</v>
      </c>
      <c r="L9" s="16">
        <f>"0,0000"</f>
        <v>0</v>
      </c>
      <c r="M9" s="16"/>
    </row>
    <row r="11" spans="1:12" ht="15">
      <c r="A11" s="26" t="s">
        <v>52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27" t="s">
        <v>53</v>
      </c>
      <c r="B12" s="27" t="s">
        <v>54</v>
      </c>
      <c r="C12" s="27" t="s">
        <v>55</v>
      </c>
      <c r="D12" s="27">
        <f>"0,8105"</f>
        <v>0</v>
      </c>
      <c r="E12" s="27" t="s">
        <v>56</v>
      </c>
      <c r="F12" s="27" t="s">
        <v>57</v>
      </c>
      <c r="G12" s="27" t="s">
        <v>58</v>
      </c>
      <c r="H12" s="27" t="s">
        <v>59</v>
      </c>
      <c r="I12" s="27" t="s">
        <v>60</v>
      </c>
      <c r="J12" s="28"/>
      <c r="K12" s="27">
        <v>107.5</v>
      </c>
      <c r="L12" s="27">
        <f>"87,1288"</f>
        <v>0</v>
      </c>
      <c r="M12" s="27"/>
    </row>
    <row r="13" spans="1:13" ht="12.75">
      <c r="A13" s="29" t="s">
        <v>61</v>
      </c>
      <c r="B13" s="29" t="s">
        <v>62</v>
      </c>
      <c r="C13" s="29" t="s">
        <v>63</v>
      </c>
      <c r="D13" s="29">
        <f>"0,8462"</f>
        <v>0</v>
      </c>
      <c r="E13" s="29" t="s">
        <v>64</v>
      </c>
      <c r="F13" s="29" t="s">
        <v>65</v>
      </c>
      <c r="G13" s="29" t="s">
        <v>66</v>
      </c>
      <c r="H13" s="30" t="s">
        <v>67</v>
      </c>
      <c r="I13" s="29" t="s">
        <v>67</v>
      </c>
      <c r="J13" s="30"/>
      <c r="K13" s="29">
        <v>82.5</v>
      </c>
      <c r="L13" s="29">
        <f>"69,8115"</f>
        <v>0</v>
      </c>
      <c r="M13" s="29"/>
    </row>
    <row r="15" spans="1:12" ht="15">
      <c r="A15" s="26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3" ht="12.75">
      <c r="A16" s="27" t="s">
        <v>69</v>
      </c>
      <c r="B16" s="27" t="s">
        <v>70</v>
      </c>
      <c r="C16" s="27" t="s">
        <v>71</v>
      </c>
      <c r="D16" s="27">
        <f>"0,7520"</f>
        <v>0</v>
      </c>
      <c r="E16" s="27" t="s">
        <v>56</v>
      </c>
      <c r="F16" s="27" t="s">
        <v>57</v>
      </c>
      <c r="G16" s="27" t="s">
        <v>72</v>
      </c>
      <c r="H16" s="27" t="s">
        <v>58</v>
      </c>
      <c r="I16" s="28" t="s">
        <v>46</v>
      </c>
      <c r="J16" s="28"/>
      <c r="K16" s="27">
        <v>97.5</v>
      </c>
      <c r="L16" s="27">
        <f>"73,3200"</f>
        <v>0</v>
      </c>
      <c r="M16" s="27"/>
    </row>
    <row r="17" spans="1:13" ht="12.75">
      <c r="A17" s="29" t="s">
        <v>73</v>
      </c>
      <c r="B17" s="29" t="s">
        <v>74</v>
      </c>
      <c r="C17" s="29" t="s">
        <v>75</v>
      </c>
      <c r="D17" s="29">
        <f>"0,7737"</f>
        <v>0</v>
      </c>
      <c r="E17" s="29" t="s">
        <v>64</v>
      </c>
      <c r="F17" s="29" t="s">
        <v>65</v>
      </c>
      <c r="G17" s="29" t="s">
        <v>66</v>
      </c>
      <c r="H17" s="29" t="s">
        <v>76</v>
      </c>
      <c r="I17" s="29" t="s">
        <v>77</v>
      </c>
      <c r="J17" s="30"/>
      <c r="K17" s="29">
        <v>90</v>
      </c>
      <c r="L17" s="29">
        <f>"69,6330"</f>
        <v>0</v>
      </c>
      <c r="M17" s="29"/>
    </row>
    <row r="19" spans="1:12" ht="15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3" ht="12.75">
      <c r="A20" s="16" t="s">
        <v>78</v>
      </c>
      <c r="B20" s="16" t="s">
        <v>79</v>
      </c>
      <c r="C20" s="16" t="s">
        <v>80</v>
      </c>
      <c r="D20" s="16">
        <f>"0,6442"</f>
        <v>0</v>
      </c>
      <c r="E20" s="16" t="s">
        <v>81</v>
      </c>
      <c r="F20" s="16" t="s">
        <v>57</v>
      </c>
      <c r="G20" s="16" t="s">
        <v>82</v>
      </c>
      <c r="H20" s="16" t="s">
        <v>83</v>
      </c>
      <c r="I20" s="16" t="s">
        <v>84</v>
      </c>
      <c r="J20" s="17"/>
      <c r="K20" s="16">
        <v>150</v>
      </c>
      <c r="L20" s="16">
        <f>"96,6300"</f>
        <v>0</v>
      </c>
      <c r="M20" s="16" t="s">
        <v>85</v>
      </c>
    </row>
    <row r="22" spans="1:12" ht="15">
      <c r="A22" s="26" t="s">
        <v>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3" ht="12.75">
      <c r="A23" s="27" t="s">
        <v>87</v>
      </c>
      <c r="B23" s="27" t="s">
        <v>88</v>
      </c>
      <c r="C23" s="27" t="s">
        <v>89</v>
      </c>
      <c r="D23" s="27">
        <f>"0,8242"</f>
        <v>0</v>
      </c>
      <c r="E23" s="27" t="s">
        <v>64</v>
      </c>
      <c r="F23" s="27" t="s">
        <v>65</v>
      </c>
      <c r="G23" s="28" t="s">
        <v>72</v>
      </c>
      <c r="H23" s="27" t="s">
        <v>72</v>
      </c>
      <c r="I23" s="27" t="s">
        <v>51</v>
      </c>
      <c r="J23" s="28"/>
      <c r="K23" s="27">
        <v>105</v>
      </c>
      <c r="L23" s="27">
        <f>"86,5410"</f>
        <v>0</v>
      </c>
      <c r="M23" s="27" t="s">
        <v>90</v>
      </c>
    </row>
    <row r="24" spans="1:13" ht="12.75">
      <c r="A24" s="29" t="s">
        <v>91</v>
      </c>
      <c r="B24" s="29" t="s">
        <v>92</v>
      </c>
      <c r="C24" s="29" t="s">
        <v>93</v>
      </c>
      <c r="D24" s="29">
        <f>"0,8646"</f>
        <v>0</v>
      </c>
      <c r="E24" s="29" t="s">
        <v>16</v>
      </c>
      <c r="F24" s="29" t="s">
        <v>17</v>
      </c>
      <c r="G24" s="30" t="s">
        <v>51</v>
      </c>
      <c r="H24" s="29" t="s">
        <v>51</v>
      </c>
      <c r="I24" s="29" t="s">
        <v>82</v>
      </c>
      <c r="J24" s="30"/>
      <c r="K24" s="29">
        <v>132.5</v>
      </c>
      <c r="L24" s="29">
        <f>"114,5595"</f>
        <v>0</v>
      </c>
      <c r="M24" s="29"/>
    </row>
    <row r="26" spans="1:12" ht="15">
      <c r="A26" s="26" t="s">
        <v>52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3" ht="12.75">
      <c r="A27" s="16" t="s">
        <v>94</v>
      </c>
      <c r="B27" s="16" t="s">
        <v>95</v>
      </c>
      <c r="C27" s="16" t="s">
        <v>96</v>
      </c>
      <c r="D27" s="16">
        <f>"0,7471"</f>
        <v>0</v>
      </c>
      <c r="E27" s="16" t="s">
        <v>56</v>
      </c>
      <c r="F27" s="16" t="s">
        <v>57</v>
      </c>
      <c r="G27" s="17" t="s">
        <v>18</v>
      </c>
      <c r="H27" s="17" t="s">
        <v>18</v>
      </c>
      <c r="I27" s="17" t="s">
        <v>18</v>
      </c>
      <c r="J27" s="17"/>
      <c r="K27" s="16">
        <v>0</v>
      </c>
      <c r="L27" s="16">
        <f>"0,0000"</f>
        <v>0</v>
      </c>
      <c r="M27" s="16"/>
    </row>
    <row r="29" spans="1:12" ht="15">
      <c r="A29" s="26" t="s">
        <v>68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 ht="12.75">
      <c r="A30" s="27" t="s">
        <v>97</v>
      </c>
      <c r="B30" s="27" t="s">
        <v>98</v>
      </c>
      <c r="C30" s="27" t="s">
        <v>99</v>
      </c>
      <c r="D30" s="27">
        <f>"0,6559"</f>
        <v>0</v>
      </c>
      <c r="E30" s="27" t="s">
        <v>56</v>
      </c>
      <c r="F30" s="27" t="s">
        <v>57</v>
      </c>
      <c r="G30" s="27" t="s">
        <v>100</v>
      </c>
      <c r="H30" s="27" t="s">
        <v>18</v>
      </c>
      <c r="I30" s="28" t="s">
        <v>101</v>
      </c>
      <c r="J30" s="28"/>
      <c r="K30" s="27">
        <v>190</v>
      </c>
      <c r="L30" s="27">
        <f>"124,6210"</f>
        <v>0</v>
      </c>
      <c r="M30" s="27"/>
    </row>
    <row r="31" spans="1:13" ht="12.75">
      <c r="A31" s="31" t="s">
        <v>102</v>
      </c>
      <c r="B31" s="31" t="s">
        <v>103</v>
      </c>
      <c r="C31" s="31" t="s">
        <v>104</v>
      </c>
      <c r="D31" s="31">
        <f>"0,6797"</f>
        <v>0</v>
      </c>
      <c r="E31" s="31" t="s">
        <v>64</v>
      </c>
      <c r="F31" s="31" t="s">
        <v>105</v>
      </c>
      <c r="G31" s="32" t="s">
        <v>72</v>
      </c>
      <c r="H31" s="32" t="s">
        <v>72</v>
      </c>
      <c r="I31" s="31" t="s">
        <v>72</v>
      </c>
      <c r="J31" s="32"/>
      <c r="K31" s="31">
        <v>95</v>
      </c>
      <c r="L31" s="31">
        <f>"64,5715"</f>
        <v>0</v>
      </c>
      <c r="M31" s="31" t="s">
        <v>90</v>
      </c>
    </row>
    <row r="32" spans="1:13" ht="12.75">
      <c r="A32" s="31" t="s">
        <v>106</v>
      </c>
      <c r="B32" s="31" t="s">
        <v>107</v>
      </c>
      <c r="C32" s="31" t="s">
        <v>108</v>
      </c>
      <c r="D32" s="31">
        <f aca="true" t="shared" si="0" ref="D32:D33">"0,6782"</f>
        <v>0</v>
      </c>
      <c r="E32" s="31" t="s">
        <v>109</v>
      </c>
      <c r="F32" s="31" t="s">
        <v>57</v>
      </c>
      <c r="G32" s="31" t="s">
        <v>110</v>
      </c>
      <c r="H32" s="31" t="s">
        <v>111</v>
      </c>
      <c r="I32" s="31" t="s">
        <v>112</v>
      </c>
      <c r="J32" s="32"/>
      <c r="K32" s="31">
        <v>182.5</v>
      </c>
      <c r="L32" s="31">
        <f aca="true" t="shared" si="1" ref="L32:L33">"123,7715"</f>
        <v>0</v>
      </c>
      <c r="M32" s="31"/>
    </row>
    <row r="33" spans="1:13" ht="12.75">
      <c r="A33" s="29" t="s">
        <v>106</v>
      </c>
      <c r="B33" s="29" t="s">
        <v>113</v>
      </c>
      <c r="C33" s="29" t="s">
        <v>108</v>
      </c>
      <c r="D33" s="29">
        <f t="shared" si="0"/>
        <v>0</v>
      </c>
      <c r="E33" s="29" t="s">
        <v>109</v>
      </c>
      <c r="F33" s="29" t="s">
        <v>57</v>
      </c>
      <c r="G33" s="29" t="s">
        <v>110</v>
      </c>
      <c r="H33" s="29" t="s">
        <v>111</v>
      </c>
      <c r="I33" s="29" t="s">
        <v>112</v>
      </c>
      <c r="J33" s="30"/>
      <c r="K33" s="29">
        <v>182.5</v>
      </c>
      <c r="L33" s="29">
        <f t="shared" si="1"/>
        <v>0</v>
      </c>
      <c r="M33" s="29"/>
    </row>
    <row r="35" spans="1:12" ht="15">
      <c r="A35" s="26" t="s">
        <v>114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12.75">
      <c r="A36" s="16" t="s">
        <v>115</v>
      </c>
      <c r="B36" s="16" t="s">
        <v>116</v>
      </c>
      <c r="C36" s="16" t="s">
        <v>117</v>
      </c>
      <c r="D36" s="16">
        <f>"0,6273"</f>
        <v>0</v>
      </c>
      <c r="E36" s="16" t="s">
        <v>16</v>
      </c>
      <c r="F36" s="16" t="s">
        <v>17</v>
      </c>
      <c r="G36" s="16" t="s">
        <v>118</v>
      </c>
      <c r="H36" s="16" t="s">
        <v>119</v>
      </c>
      <c r="I36" s="16" t="s">
        <v>84</v>
      </c>
      <c r="J36" s="17"/>
      <c r="K36" s="16">
        <v>150</v>
      </c>
      <c r="L36" s="16">
        <f>"94,0950"</f>
        <v>0</v>
      </c>
      <c r="M36" s="16"/>
    </row>
    <row r="38" spans="1:12" ht="15">
      <c r="A38" s="26" t="s">
        <v>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3" ht="12.75">
      <c r="A39" s="27" t="s">
        <v>120</v>
      </c>
      <c r="B39" s="27" t="s">
        <v>121</v>
      </c>
      <c r="C39" s="27" t="s">
        <v>122</v>
      </c>
      <c r="D39" s="27">
        <f>"0,5914"</f>
        <v>0</v>
      </c>
      <c r="E39" s="27" t="s">
        <v>56</v>
      </c>
      <c r="F39" s="27" t="s">
        <v>123</v>
      </c>
      <c r="G39" s="27" t="s">
        <v>124</v>
      </c>
      <c r="H39" s="27" t="s">
        <v>125</v>
      </c>
      <c r="I39" s="27" t="s">
        <v>126</v>
      </c>
      <c r="J39" s="28"/>
      <c r="K39" s="27">
        <v>257.5</v>
      </c>
      <c r="L39" s="27">
        <f>"152,2855"</f>
        <v>0</v>
      </c>
      <c r="M39" s="27"/>
    </row>
    <row r="40" spans="1:13" ht="12.75">
      <c r="A40" s="31" t="s">
        <v>127</v>
      </c>
      <c r="B40" s="31" t="s">
        <v>128</v>
      </c>
      <c r="C40" s="31" t="s">
        <v>129</v>
      </c>
      <c r="D40" s="31">
        <f>"0,5969"</f>
        <v>0</v>
      </c>
      <c r="E40" s="31" t="s">
        <v>56</v>
      </c>
      <c r="F40" s="31" t="s">
        <v>130</v>
      </c>
      <c r="G40" s="31" t="s">
        <v>131</v>
      </c>
      <c r="H40" s="31" t="s">
        <v>132</v>
      </c>
      <c r="I40" s="32" t="s">
        <v>125</v>
      </c>
      <c r="J40" s="32"/>
      <c r="K40" s="31">
        <v>247.5</v>
      </c>
      <c r="L40" s="31">
        <f>"147,7327"</f>
        <v>0</v>
      </c>
      <c r="M40" s="31"/>
    </row>
    <row r="41" spans="1:13" ht="12.75">
      <c r="A41" s="31" t="s">
        <v>13</v>
      </c>
      <c r="B41" s="31" t="s">
        <v>14</v>
      </c>
      <c r="C41" s="31" t="s">
        <v>15</v>
      </c>
      <c r="D41" s="31">
        <f>"0,5857"</f>
        <v>0</v>
      </c>
      <c r="E41" s="31" t="s">
        <v>16</v>
      </c>
      <c r="F41" s="31" t="s">
        <v>17</v>
      </c>
      <c r="G41" s="31" t="s">
        <v>133</v>
      </c>
      <c r="H41" s="31" t="s">
        <v>134</v>
      </c>
      <c r="I41" s="31" t="s">
        <v>135</v>
      </c>
      <c r="J41" s="32"/>
      <c r="K41" s="31">
        <v>235</v>
      </c>
      <c r="L41" s="31">
        <f>"137,6395"</f>
        <v>0</v>
      </c>
      <c r="M41" s="31"/>
    </row>
    <row r="42" spans="1:13" ht="12.75">
      <c r="A42" s="31" t="s">
        <v>136</v>
      </c>
      <c r="B42" s="31" t="s">
        <v>137</v>
      </c>
      <c r="C42" s="31" t="s">
        <v>138</v>
      </c>
      <c r="D42" s="31">
        <f>"0,5926"</f>
        <v>0</v>
      </c>
      <c r="E42" s="31" t="s">
        <v>56</v>
      </c>
      <c r="F42" s="31" t="s">
        <v>57</v>
      </c>
      <c r="G42" s="32" t="s">
        <v>139</v>
      </c>
      <c r="H42" s="31" t="s">
        <v>134</v>
      </c>
      <c r="I42" s="32" t="s">
        <v>140</v>
      </c>
      <c r="J42" s="32"/>
      <c r="K42" s="31">
        <v>222.5</v>
      </c>
      <c r="L42" s="31">
        <f>"131,8535"</f>
        <v>0</v>
      </c>
      <c r="M42" s="31"/>
    </row>
    <row r="43" spans="1:13" ht="12.75">
      <c r="A43" s="31" t="s">
        <v>141</v>
      </c>
      <c r="B43" s="31" t="s">
        <v>142</v>
      </c>
      <c r="C43" s="31" t="s">
        <v>15</v>
      </c>
      <c r="D43" s="31">
        <f>"0,5962"</f>
        <v>0</v>
      </c>
      <c r="E43" s="31" t="s">
        <v>56</v>
      </c>
      <c r="F43" s="31" t="s">
        <v>105</v>
      </c>
      <c r="G43" s="32" t="s">
        <v>36</v>
      </c>
      <c r="H43" s="32"/>
      <c r="I43" s="32"/>
      <c r="J43" s="32"/>
      <c r="K43" s="31">
        <v>0</v>
      </c>
      <c r="L43" s="31">
        <f>"0,0000"</f>
        <v>0</v>
      </c>
      <c r="M43" s="31"/>
    </row>
    <row r="44" spans="1:13" ht="12.75">
      <c r="A44" s="29" t="s">
        <v>143</v>
      </c>
      <c r="B44" s="29" t="s">
        <v>144</v>
      </c>
      <c r="C44" s="29" t="s">
        <v>145</v>
      </c>
      <c r="D44" s="29">
        <f>"0,9964"</f>
        <v>0</v>
      </c>
      <c r="E44" s="29" t="s">
        <v>56</v>
      </c>
      <c r="F44" s="29" t="s">
        <v>57</v>
      </c>
      <c r="G44" s="29" t="s">
        <v>119</v>
      </c>
      <c r="H44" s="29" t="s">
        <v>146</v>
      </c>
      <c r="I44" s="29" t="s">
        <v>147</v>
      </c>
      <c r="J44" s="30"/>
      <c r="K44" s="29">
        <v>140</v>
      </c>
      <c r="L44" s="29">
        <f>"139,4918"</f>
        <v>0</v>
      </c>
      <c r="M44" s="29"/>
    </row>
    <row r="46" spans="1:12" ht="15">
      <c r="A46" s="26" t="s">
        <v>148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3" ht="12.75">
      <c r="A47" s="27" t="s">
        <v>149</v>
      </c>
      <c r="B47" s="27" t="s">
        <v>150</v>
      </c>
      <c r="C47" s="27" t="s">
        <v>151</v>
      </c>
      <c r="D47" s="27">
        <f>"0,5685"</f>
        <v>0</v>
      </c>
      <c r="E47" s="27" t="s">
        <v>56</v>
      </c>
      <c r="F47" s="27" t="s">
        <v>152</v>
      </c>
      <c r="G47" s="27" t="s">
        <v>112</v>
      </c>
      <c r="H47" s="27" t="s">
        <v>101</v>
      </c>
      <c r="I47" s="28" t="s">
        <v>153</v>
      </c>
      <c r="J47" s="28"/>
      <c r="K47" s="27">
        <v>202.5</v>
      </c>
      <c r="L47" s="27">
        <f>"115,1212"</f>
        <v>0</v>
      </c>
      <c r="M47" s="27"/>
    </row>
    <row r="48" spans="1:13" ht="12.75">
      <c r="A48" s="29" t="s">
        <v>154</v>
      </c>
      <c r="B48" s="29" t="s">
        <v>155</v>
      </c>
      <c r="C48" s="29" t="s">
        <v>156</v>
      </c>
      <c r="D48" s="29">
        <f>"0,6987"</f>
        <v>0</v>
      </c>
      <c r="E48" s="29" t="s">
        <v>81</v>
      </c>
      <c r="F48" s="29" t="s">
        <v>157</v>
      </c>
      <c r="G48" s="29" t="s">
        <v>158</v>
      </c>
      <c r="H48" s="29" t="s">
        <v>159</v>
      </c>
      <c r="I48" s="30"/>
      <c r="J48" s="30"/>
      <c r="K48" s="29">
        <v>217.5</v>
      </c>
      <c r="L48" s="29">
        <f>"151,9612"</f>
        <v>0</v>
      </c>
      <c r="M48" s="29"/>
    </row>
    <row r="50" spans="1:12" ht="15">
      <c r="A50" s="26" t="s">
        <v>160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3" ht="12.75">
      <c r="A51" s="16" t="s">
        <v>161</v>
      </c>
      <c r="B51" s="16" t="s">
        <v>162</v>
      </c>
      <c r="C51" s="16" t="s">
        <v>163</v>
      </c>
      <c r="D51" s="16">
        <f>"0,5382"</f>
        <v>0</v>
      </c>
      <c r="E51" s="16" t="s">
        <v>56</v>
      </c>
      <c r="F51" s="16" t="s">
        <v>164</v>
      </c>
      <c r="G51" s="16" t="s">
        <v>20</v>
      </c>
      <c r="H51" s="16" t="s">
        <v>131</v>
      </c>
      <c r="I51" s="16" t="s">
        <v>124</v>
      </c>
      <c r="J51" s="17"/>
      <c r="K51" s="16">
        <v>245</v>
      </c>
      <c r="L51" s="16">
        <f>"131,8590"</f>
        <v>0</v>
      </c>
      <c r="M51" s="16"/>
    </row>
    <row r="53" spans="1:12" ht="15">
      <c r="A53" s="26" t="s">
        <v>165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3" ht="12.75">
      <c r="A54" s="16" t="s">
        <v>90</v>
      </c>
      <c r="B54" s="16" t="s">
        <v>166</v>
      </c>
      <c r="C54" s="16" t="s">
        <v>167</v>
      </c>
      <c r="D54" s="16">
        <f>"0,5351"</f>
        <v>0</v>
      </c>
      <c r="E54" s="16" t="s">
        <v>64</v>
      </c>
      <c r="F54" s="16" t="s">
        <v>57</v>
      </c>
      <c r="G54" s="16" t="s">
        <v>168</v>
      </c>
      <c r="H54" s="16" t="s">
        <v>20</v>
      </c>
      <c r="I54" s="16" t="s">
        <v>131</v>
      </c>
      <c r="J54" s="17"/>
      <c r="K54" s="16">
        <v>240</v>
      </c>
      <c r="L54" s="16">
        <f>"128,4240"</f>
        <v>0</v>
      </c>
      <c r="M54" s="16"/>
    </row>
    <row r="56" ht="15">
      <c r="E56" s="18" t="s">
        <v>21</v>
      </c>
    </row>
    <row r="57" ht="15">
      <c r="E57" s="18" t="s">
        <v>22</v>
      </c>
    </row>
    <row r="58" ht="15">
      <c r="E58" s="18" t="s">
        <v>23</v>
      </c>
    </row>
    <row r="59" ht="12.75">
      <c r="E59" s="1" t="s">
        <v>24</v>
      </c>
    </row>
    <row r="60" ht="12.75">
      <c r="E60" s="1" t="s">
        <v>25</v>
      </c>
    </row>
    <row r="61" ht="12.75">
      <c r="E61" s="1" t="s">
        <v>26</v>
      </c>
    </row>
    <row r="64" spans="1:2" ht="17.25">
      <c r="A64" s="19" t="s">
        <v>27</v>
      </c>
      <c r="B64" s="19"/>
    </row>
    <row r="65" spans="1:2" ht="15">
      <c r="A65" s="20" t="s">
        <v>169</v>
      </c>
      <c r="B65" s="20"/>
    </row>
    <row r="66" spans="1:2" ht="14.25">
      <c r="A66" s="21" t="s">
        <v>29</v>
      </c>
      <c r="B66" s="22"/>
    </row>
    <row r="67" spans="1:5" ht="13.5">
      <c r="A67" s="23" t="s">
        <v>1</v>
      </c>
      <c r="B67" s="23" t="s">
        <v>30</v>
      </c>
      <c r="C67" s="23" t="s">
        <v>31</v>
      </c>
      <c r="D67" s="23" t="s">
        <v>8</v>
      </c>
      <c r="E67" s="23" t="s">
        <v>32</v>
      </c>
    </row>
    <row r="68" spans="1:5" ht="12.75">
      <c r="A68" s="24" t="s">
        <v>78</v>
      </c>
      <c r="B68" s="1" t="s">
        <v>29</v>
      </c>
      <c r="C68" s="1" t="s">
        <v>33</v>
      </c>
      <c r="D68" s="1" t="s">
        <v>84</v>
      </c>
      <c r="E68" s="25" t="s">
        <v>170</v>
      </c>
    </row>
    <row r="69" spans="1:5" ht="12.75">
      <c r="A69" s="24" t="s">
        <v>53</v>
      </c>
      <c r="B69" s="1" t="s">
        <v>29</v>
      </c>
      <c r="C69" s="1" t="s">
        <v>171</v>
      </c>
      <c r="D69" s="1" t="s">
        <v>60</v>
      </c>
      <c r="E69" s="25" t="s">
        <v>172</v>
      </c>
    </row>
    <row r="70" spans="1:5" ht="12.75">
      <c r="A70" s="24" t="s">
        <v>40</v>
      </c>
      <c r="B70" s="1" t="s">
        <v>29</v>
      </c>
      <c r="C70" s="1" t="s">
        <v>173</v>
      </c>
      <c r="D70" s="1" t="s">
        <v>45</v>
      </c>
      <c r="E70" s="25" t="s">
        <v>174</v>
      </c>
    </row>
    <row r="71" spans="1:5" ht="12.75">
      <c r="A71" s="24" t="s">
        <v>69</v>
      </c>
      <c r="B71" s="1" t="s">
        <v>29</v>
      </c>
      <c r="C71" s="1" t="s">
        <v>175</v>
      </c>
      <c r="D71" s="1" t="s">
        <v>58</v>
      </c>
      <c r="E71" s="25" t="s">
        <v>176</v>
      </c>
    </row>
    <row r="72" spans="1:5" ht="12.75">
      <c r="A72" s="24" t="s">
        <v>61</v>
      </c>
      <c r="B72" s="1" t="s">
        <v>29</v>
      </c>
      <c r="C72" s="1" t="s">
        <v>171</v>
      </c>
      <c r="D72" s="1" t="s">
        <v>67</v>
      </c>
      <c r="E72" s="25" t="s">
        <v>177</v>
      </c>
    </row>
    <row r="73" spans="1:5" ht="12.75">
      <c r="A73" s="24" t="s">
        <v>73</v>
      </c>
      <c r="B73" s="1" t="s">
        <v>29</v>
      </c>
      <c r="C73" s="1" t="s">
        <v>175</v>
      </c>
      <c r="D73" s="1" t="s">
        <v>77</v>
      </c>
      <c r="E73" s="25" t="s">
        <v>178</v>
      </c>
    </row>
    <row r="76" spans="1:2" ht="15">
      <c r="A76" s="20" t="s">
        <v>28</v>
      </c>
      <c r="B76" s="20"/>
    </row>
    <row r="77" spans="1:2" ht="14.25">
      <c r="A77" s="21" t="s">
        <v>179</v>
      </c>
      <c r="B77" s="22"/>
    </row>
    <row r="78" spans="1:5" ht="13.5">
      <c r="A78" s="23" t="s">
        <v>1</v>
      </c>
      <c r="B78" s="23" t="s">
        <v>30</v>
      </c>
      <c r="C78" s="23" t="s">
        <v>31</v>
      </c>
      <c r="D78" s="23" t="s">
        <v>8</v>
      </c>
      <c r="E78" s="23" t="s">
        <v>32</v>
      </c>
    </row>
    <row r="79" spans="1:5" ht="12.75">
      <c r="A79" s="24" t="s">
        <v>87</v>
      </c>
      <c r="B79" s="1" t="s">
        <v>180</v>
      </c>
      <c r="C79" s="1" t="s">
        <v>181</v>
      </c>
      <c r="D79" s="1" t="s">
        <v>51</v>
      </c>
      <c r="E79" s="25" t="s">
        <v>182</v>
      </c>
    </row>
    <row r="81" spans="1:2" ht="14.25">
      <c r="A81" s="21" t="s">
        <v>183</v>
      </c>
      <c r="B81" s="22"/>
    </row>
    <row r="82" spans="1:5" ht="13.5">
      <c r="A82" s="23" t="s">
        <v>1</v>
      </c>
      <c r="B82" s="23" t="s">
        <v>30</v>
      </c>
      <c r="C82" s="23" t="s">
        <v>31</v>
      </c>
      <c r="D82" s="23" t="s">
        <v>8</v>
      </c>
      <c r="E82" s="23" t="s">
        <v>32</v>
      </c>
    </row>
    <row r="83" spans="1:5" ht="12.75">
      <c r="A83" s="24" t="s">
        <v>97</v>
      </c>
      <c r="B83" s="1" t="s">
        <v>184</v>
      </c>
      <c r="C83" s="1" t="s">
        <v>175</v>
      </c>
      <c r="D83" s="1" t="s">
        <v>18</v>
      </c>
      <c r="E83" s="25" t="s">
        <v>185</v>
      </c>
    </row>
    <row r="84" spans="1:5" ht="12.75">
      <c r="A84" s="24" t="s">
        <v>102</v>
      </c>
      <c r="B84" s="1" t="s">
        <v>184</v>
      </c>
      <c r="C84" s="1" t="s">
        <v>175</v>
      </c>
      <c r="D84" s="1" t="s">
        <v>72</v>
      </c>
      <c r="E84" s="25" t="s">
        <v>186</v>
      </c>
    </row>
    <row r="86" spans="1:2" ht="14.25">
      <c r="A86" s="21" t="s">
        <v>29</v>
      </c>
      <c r="B86" s="22"/>
    </row>
    <row r="87" spans="1:5" ht="13.5">
      <c r="A87" s="23" t="s">
        <v>1</v>
      </c>
      <c r="B87" s="23" t="s">
        <v>30</v>
      </c>
      <c r="C87" s="23" t="s">
        <v>31</v>
      </c>
      <c r="D87" s="23" t="s">
        <v>8</v>
      </c>
      <c r="E87" s="23" t="s">
        <v>32</v>
      </c>
    </row>
    <row r="88" spans="1:5" ht="12.75">
      <c r="A88" s="24" t="s">
        <v>120</v>
      </c>
      <c r="B88" s="1" t="s">
        <v>29</v>
      </c>
      <c r="C88" s="1" t="s">
        <v>33</v>
      </c>
      <c r="D88" s="1" t="s">
        <v>126</v>
      </c>
      <c r="E88" s="25" t="s">
        <v>187</v>
      </c>
    </row>
    <row r="89" spans="1:5" ht="12.75">
      <c r="A89" s="24" t="s">
        <v>127</v>
      </c>
      <c r="B89" s="1" t="s">
        <v>29</v>
      </c>
      <c r="C89" s="1" t="s">
        <v>33</v>
      </c>
      <c r="D89" s="1" t="s">
        <v>132</v>
      </c>
      <c r="E89" s="25" t="s">
        <v>188</v>
      </c>
    </row>
    <row r="90" spans="1:5" ht="12.75">
      <c r="A90" s="24" t="s">
        <v>13</v>
      </c>
      <c r="B90" s="1" t="s">
        <v>29</v>
      </c>
      <c r="C90" s="1" t="s">
        <v>33</v>
      </c>
      <c r="D90" s="1" t="s">
        <v>135</v>
      </c>
      <c r="E90" s="25" t="s">
        <v>189</v>
      </c>
    </row>
    <row r="91" spans="1:5" ht="12.75">
      <c r="A91" s="24" t="s">
        <v>161</v>
      </c>
      <c r="B91" s="1" t="s">
        <v>29</v>
      </c>
      <c r="C91" s="1" t="s">
        <v>190</v>
      </c>
      <c r="D91" s="1" t="s">
        <v>124</v>
      </c>
      <c r="E91" s="25" t="s">
        <v>191</v>
      </c>
    </row>
    <row r="92" spans="1:5" ht="12.75">
      <c r="A92" s="24" t="s">
        <v>136</v>
      </c>
      <c r="B92" s="1" t="s">
        <v>29</v>
      </c>
      <c r="C92" s="1" t="s">
        <v>33</v>
      </c>
      <c r="D92" s="1" t="s">
        <v>134</v>
      </c>
      <c r="E92" s="25" t="s">
        <v>192</v>
      </c>
    </row>
    <row r="93" spans="1:5" ht="12.75">
      <c r="A93" s="24" t="s">
        <v>90</v>
      </c>
      <c r="B93" s="1" t="s">
        <v>29</v>
      </c>
      <c r="C93" s="1" t="s">
        <v>193</v>
      </c>
      <c r="D93" s="1" t="s">
        <v>131</v>
      </c>
      <c r="E93" s="25" t="s">
        <v>194</v>
      </c>
    </row>
    <row r="94" spans="1:5" ht="12.75">
      <c r="A94" s="24" t="s">
        <v>106</v>
      </c>
      <c r="B94" s="1" t="s">
        <v>29</v>
      </c>
      <c r="C94" s="1" t="s">
        <v>175</v>
      </c>
      <c r="D94" s="1" t="s">
        <v>112</v>
      </c>
      <c r="E94" s="25" t="s">
        <v>195</v>
      </c>
    </row>
    <row r="95" spans="1:5" ht="12.75">
      <c r="A95" s="24" t="s">
        <v>149</v>
      </c>
      <c r="B95" s="1" t="s">
        <v>29</v>
      </c>
      <c r="C95" s="1" t="s">
        <v>196</v>
      </c>
      <c r="D95" s="1" t="s">
        <v>101</v>
      </c>
      <c r="E95" s="25" t="s">
        <v>197</v>
      </c>
    </row>
    <row r="96" spans="1:5" ht="12.75">
      <c r="A96" s="24" t="s">
        <v>91</v>
      </c>
      <c r="B96" s="1" t="s">
        <v>29</v>
      </c>
      <c r="C96" s="1" t="s">
        <v>181</v>
      </c>
      <c r="D96" s="1" t="s">
        <v>82</v>
      </c>
      <c r="E96" s="25" t="s">
        <v>198</v>
      </c>
    </row>
    <row r="97" spans="1:5" ht="12.75">
      <c r="A97" s="24" t="s">
        <v>115</v>
      </c>
      <c r="B97" s="1" t="s">
        <v>29</v>
      </c>
      <c r="C97" s="1" t="s">
        <v>199</v>
      </c>
      <c r="D97" s="1" t="s">
        <v>84</v>
      </c>
      <c r="E97" s="25" t="s">
        <v>200</v>
      </c>
    </row>
    <row r="99" spans="1:2" ht="14.25">
      <c r="A99" s="21" t="s">
        <v>201</v>
      </c>
      <c r="B99" s="22"/>
    </row>
    <row r="100" spans="1:5" ht="13.5">
      <c r="A100" s="23" t="s">
        <v>1</v>
      </c>
      <c r="B100" s="23" t="s">
        <v>30</v>
      </c>
      <c r="C100" s="23" t="s">
        <v>31</v>
      </c>
      <c r="D100" s="23" t="s">
        <v>8</v>
      </c>
      <c r="E100" s="23" t="s">
        <v>32</v>
      </c>
    </row>
    <row r="101" spans="1:5" ht="12.75">
      <c r="A101" s="24" t="s">
        <v>154</v>
      </c>
      <c r="B101" s="1" t="s">
        <v>202</v>
      </c>
      <c r="C101" s="1" t="s">
        <v>196</v>
      </c>
      <c r="D101" s="1" t="s">
        <v>159</v>
      </c>
      <c r="E101" s="25" t="s">
        <v>203</v>
      </c>
    </row>
    <row r="102" spans="1:5" ht="12.75">
      <c r="A102" s="24" t="s">
        <v>143</v>
      </c>
      <c r="B102" s="1" t="s">
        <v>204</v>
      </c>
      <c r="C102" s="1" t="s">
        <v>33</v>
      </c>
      <c r="D102" s="1" t="s">
        <v>147</v>
      </c>
      <c r="E102" s="25" t="s">
        <v>205</v>
      </c>
    </row>
  </sheetData>
  <sheetProtection selectLockedCells="1" selectUnlockedCells="1"/>
  <mergeCells count="24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5:L15"/>
    <mergeCell ref="A19:L19"/>
    <mergeCell ref="A22:L22"/>
    <mergeCell ref="A26:L26"/>
    <mergeCell ref="A29:L29"/>
    <mergeCell ref="A35:L35"/>
    <mergeCell ref="A38:L38"/>
    <mergeCell ref="A46:L46"/>
    <mergeCell ref="A50:L50"/>
    <mergeCell ref="A53:L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8.50390625" style="1" customWidth="1"/>
    <col min="7" max="8" width="5.50390625" style="1" customWidth="1"/>
    <col min="9" max="9" width="2.1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160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207</v>
      </c>
      <c r="B6" s="16" t="s">
        <v>208</v>
      </c>
      <c r="C6" s="16" t="s">
        <v>209</v>
      </c>
      <c r="D6" s="16">
        <f>"0,5524"</f>
        <v>0</v>
      </c>
      <c r="E6" s="16" t="s">
        <v>56</v>
      </c>
      <c r="F6" s="16" t="s">
        <v>210</v>
      </c>
      <c r="G6" s="16" t="s">
        <v>168</v>
      </c>
      <c r="H6" s="16" t="s">
        <v>20</v>
      </c>
      <c r="I6" s="17"/>
      <c r="J6" s="17"/>
      <c r="K6" s="16">
        <v>230</v>
      </c>
      <c r="L6" s="16">
        <f>"127,0583"</f>
        <v>0</v>
      </c>
      <c r="M6" s="16" t="s">
        <v>211</v>
      </c>
    </row>
    <row r="8" ht="15">
      <c r="E8" s="18" t="s">
        <v>21</v>
      </c>
    </row>
    <row r="9" ht="15">
      <c r="E9" s="18" t="s">
        <v>22</v>
      </c>
    </row>
    <row r="10" ht="15">
      <c r="E10" s="18" t="s">
        <v>23</v>
      </c>
    </row>
    <row r="11" ht="12.75">
      <c r="E11" s="1" t="s">
        <v>24</v>
      </c>
    </row>
    <row r="12" ht="12.75">
      <c r="E12" s="1" t="s">
        <v>25</v>
      </c>
    </row>
    <row r="13" ht="12.75">
      <c r="E13" s="1" t="s">
        <v>26</v>
      </c>
    </row>
    <row r="16" spans="1:2" ht="17.25">
      <c r="A16" s="19" t="s">
        <v>27</v>
      </c>
      <c r="B16" s="19"/>
    </row>
    <row r="17" spans="1:2" ht="15">
      <c r="A17" s="20" t="s">
        <v>28</v>
      </c>
      <c r="B17" s="20"/>
    </row>
    <row r="18" spans="1:2" ht="14.25">
      <c r="A18" s="21" t="s">
        <v>201</v>
      </c>
      <c r="B18" s="22"/>
    </row>
    <row r="19" spans="1:5" ht="13.5">
      <c r="A19" s="23" t="s">
        <v>1</v>
      </c>
      <c r="B19" s="23" t="s">
        <v>30</v>
      </c>
      <c r="C19" s="23" t="s">
        <v>31</v>
      </c>
      <c r="D19" s="23" t="s">
        <v>8</v>
      </c>
      <c r="E19" s="23" t="s">
        <v>32</v>
      </c>
    </row>
    <row r="20" spans="1:5" ht="12.75">
      <c r="A20" s="24" t="s">
        <v>207</v>
      </c>
      <c r="B20" s="1" t="s">
        <v>212</v>
      </c>
      <c r="C20" s="1" t="s">
        <v>190</v>
      </c>
      <c r="D20" s="1" t="s">
        <v>20</v>
      </c>
      <c r="E20" s="25" t="s">
        <v>213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E32" sqref="E32"/>
    </sheetView>
  </sheetViews>
  <sheetFormatPr defaultColWidth="9.00390625" defaultRowHeight="12.75"/>
  <cols>
    <col min="1" max="1" width="24.875" style="1" customWidth="1"/>
    <col min="2" max="2" width="30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7.50390625" style="1" customWidth="1"/>
    <col min="7" max="9" width="5.503906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4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215</v>
      </c>
      <c r="B6" s="16" t="s">
        <v>216</v>
      </c>
      <c r="C6" s="16" t="s">
        <v>217</v>
      </c>
      <c r="D6" s="16">
        <f>"0,9670"</f>
        <v>0</v>
      </c>
      <c r="E6" s="16" t="s">
        <v>109</v>
      </c>
      <c r="F6" s="16" t="s">
        <v>57</v>
      </c>
      <c r="G6" s="16" t="s">
        <v>66</v>
      </c>
      <c r="H6" s="17" t="s">
        <v>76</v>
      </c>
      <c r="I6" s="16" t="s">
        <v>76</v>
      </c>
      <c r="J6" s="17"/>
      <c r="K6" s="16">
        <v>85</v>
      </c>
      <c r="L6" s="16">
        <f>"82,1950"</f>
        <v>0</v>
      </c>
      <c r="M6" s="16"/>
    </row>
    <row r="8" spans="1:12" ht="1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3" ht="12.75">
      <c r="A9" s="16" t="s">
        <v>218</v>
      </c>
      <c r="B9" s="16" t="s">
        <v>219</v>
      </c>
      <c r="C9" s="16" t="s">
        <v>220</v>
      </c>
      <c r="D9" s="16">
        <f>"0,6269"</f>
        <v>0</v>
      </c>
      <c r="E9" s="16" t="s">
        <v>56</v>
      </c>
      <c r="F9" s="16" t="s">
        <v>221</v>
      </c>
      <c r="G9" s="16" t="s">
        <v>100</v>
      </c>
      <c r="H9" s="16" t="s">
        <v>168</v>
      </c>
      <c r="I9" s="16" t="s">
        <v>20</v>
      </c>
      <c r="J9" s="17"/>
      <c r="K9" s="16">
        <v>230</v>
      </c>
      <c r="L9" s="16">
        <f>"144,1901"</f>
        <v>0</v>
      </c>
      <c r="M9" s="16"/>
    </row>
    <row r="11" spans="1:12" ht="15">
      <c r="A11" s="26" t="s">
        <v>148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3" ht="12.75">
      <c r="A12" s="16" t="s">
        <v>222</v>
      </c>
      <c r="B12" s="16" t="s">
        <v>223</v>
      </c>
      <c r="C12" s="16" t="s">
        <v>224</v>
      </c>
      <c r="D12" s="16">
        <f>"0,5545"</f>
        <v>0</v>
      </c>
      <c r="E12" s="16" t="s">
        <v>56</v>
      </c>
      <c r="F12" s="16" t="s">
        <v>57</v>
      </c>
      <c r="G12" s="16" t="s">
        <v>225</v>
      </c>
      <c r="H12" s="17" t="s">
        <v>226</v>
      </c>
      <c r="I12" s="16" t="s">
        <v>226</v>
      </c>
      <c r="J12" s="17"/>
      <c r="K12" s="16">
        <v>280</v>
      </c>
      <c r="L12" s="16">
        <f>"155,2600"</f>
        <v>0</v>
      </c>
      <c r="M12" s="16"/>
    </row>
    <row r="14" spans="1:12" ht="15">
      <c r="A14" s="26" t="s">
        <v>160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3" ht="12.75">
      <c r="A15" s="27" t="s">
        <v>227</v>
      </c>
      <c r="B15" s="27" t="s">
        <v>228</v>
      </c>
      <c r="C15" s="27" t="s">
        <v>229</v>
      </c>
      <c r="D15" s="27">
        <f aca="true" t="shared" si="0" ref="D15:D16">"0,5365"</f>
        <v>0</v>
      </c>
      <c r="E15" s="27" t="s">
        <v>56</v>
      </c>
      <c r="F15" s="27" t="s">
        <v>230</v>
      </c>
      <c r="G15" s="27" t="s">
        <v>231</v>
      </c>
      <c r="H15" s="27" t="s">
        <v>225</v>
      </c>
      <c r="I15" s="27" t="s">
        <v>226</v>
      </c>
      <c r="J15" s="28"/>
      <c r="K15" s="27">
        <v>280</v>
      </c>
      <c r="L15" s="27">
        <f>"150,2200"</f>
        <v>0</v>
      </c>
      <c r="M15" s="27"/>
    </row>
    <row r="16" spans="1:13" ht="12.75">
      <c r="A16" s="29" t="s">
        <v>232</v>
      </c>
      <c r="B16" s="29" t="s">
        <v>233</v>
      </c>
      <c r="C16" s="29" t="s">
        <v>229</v>
      </c>
      <c r="D16" s="29">
        <f t="shared" si="0"/>
        <v>0</v>
      </c>
      <c r="E16" s="29" t="s">
        <v>56</v>
      </c>
      <c r="F16" s="29" t="s">
        <v>57</v>
      </c>
      <c r="G16" s="29" t="s">
        <v>234</v>
      </c>
      <c r="H16" s="29" t="s">
        <v>235</v>
      </c>
      <c r="I16" s="29" t="s">
        <v>236</v>
      </c>
      <c r="J16" s="30"/>
      <c r="K16" s="29">
        <v>307.5</v>
      </c>
      <c r="L16" s="29">
        <f>"164,9737"</f>
        <v>0</v>
      </c>
      <c r="M16" s="29"/>
    </row>
    <row r="18" ht="15">
      <c r="E18" s="18" t="s">
        <v>21</v>
      </c>
    </row>
    <row r="19" ht="15">
      <c r="E19" s="18" t="s">
        <v>22</v>
      </c>
    </row>
    <row r="20" ht="15">
      <c r="E20" s="18" t="s">
        <v>23</v>
      </c>
    </row>
    <row r="21" ht="12.75">
      <c r="E21" s="1" t="s">
        <v>24</v>
      </c>
    </row>
    <row r="22" ht="12.75">
      <c r="E22" s="1" t="s">
        <v>25</v>
      </c>
    </row>
    <row r="23" ht="12.75">
      <c r="E23" s="1" t="s">
        <v>26</v>
      </c>
    </row>
    <row r="26" spans="1:2" ht="17.25">
      <c r="A26" s="19" t="s">
        <v>27</v>
      </c>
      <c r="B26" s="19"/>
    </row>
    <row r="27" spans="1:2" ht="15">
      <c r="A27" s="20" t="s">
        <v>169</v>
      </c>
      <c r="B27" s="20"/>
    </row>
    <row r="28" spans="1:2" ht="14.25">
      <c r="A28" s="21" t="s">
        <v>29</v>
      </c>
      <c r="B28" s="22"/>
    </row>
    <row r="29" spans="1:5" ht="13.5">
      <c r="A29" s="23" t="s">
        <v>1</v>
      </c>
      <c r="B29" s="23" t="s">
        <v>30</v>
      </c>
      <c r="C29" s="23" t="s">
        <v>31</v>
      </c>
      <c r="D29" s="23" t="s">
        <v>8</v>
      </c>
      <c r="E29" s="23" t="s">
        <v>32</v>
      </c>
    </row>
    <row r="30" spans="1:5" ht="12.75">
      <c r="A30" s="24" t="s">
        <v>215</v>
      </c>
      <c r="B30" s="1" t="s">
        <v>29</v>
      </c>
      <c r="C30" s="1" t="s">
        <v>173</v>
      </c>
      <c r="D30" s="1" t="s">
        <v>76</v>
      </c>
      <c r="E30" s="25" t="s">
        <v>237</v>
      </c>
    </row>
    <row r="33" spans="1:2" ht="15">
      <c r="A33" s="20" t="s">
        <v>28</v>
      </c>
      <c r="B33" s="20"/>
    </row>
    <row r="34" spans="1:2" ht="14.25">
      <c r="A34" s="21" t="s">
        <v>29</v>
      </c>
      <c r="B34" s="22"/>
    </row>
    <row r="35" spans="1:5" ht="13.5">
      <c r="A35" s="23" t="s">
        <v>1</v>
      </c>
      <c r="B35" s="23" t="s">
        <v>30</v>
      </c>
      <c r="C35" s="23" t="s">
        <v>31</v>
      </c>
      <c r="D35" s="23" t="s">
        <v>8</v>
      </c>
      <c r="E35" s="23" t="s">
        <v>32</v>
      </c>
    </row>
    <row r="36" spans="1:5" ht="12.75">
      <c r="A36" s="24" t="s">
        <v>222</v>
      </c>
      <c r="B36" s="1" t="s">
        <v>29</v>
      </c>
      <c r="C36" s="1" t="s">
        <v>196</v>
      </c>
      <c r="D36" s="1" t="s">
        <v>226</v>
      </c>
      <c r="E36" s="25" t="s">
        <v>238</v>
      </c>
    </row>
    <row r="37" spans="1:5" ht="12.75">
      <c r="A37" s="24" t="s">
        <v>227</v>
      </c>
      <c r="B37" s="1" t="s">
        <v>29</v>
      </c>
      <c r="C37" s="1" t="s">
        <v>190</v>
      </c>
      <c r="D37" s="1" t="s">
        <v>226</v>
      </c>
      <c r="E37" s="25" t="s">
        <v>239</v>
      </c>
    </row>
    <row r="39" spans="1:2" ht="14.25">
      <c r="A39" s="21" t="s">
        <v>201</v>
      </c>
      <c r="B39" s="22"/>
    </row>
    <row r="40" spans="1:5" ht="13.5">
      <c r="A40" s="23" t="s">
        <v>1</v>
      </c>
      <c r="B40" s="23" t="s">
        <v>30</v>
      </c>
      <c r="C40" s="23" t="s">
        <v>31</v>
      </c>
      <c r="D40" s="23" t="s">
        <v>8</v>
      </c>
      <c r="E40" s="23" t="s">
        <v>32</v>
      </c>
    </row>
    <row r="41" spans="1:5" ht="12.75">
      <c r="A41" s="24" t="s">
        <v>218</v>
      </c>
      <c r="B41" s="1" t="s">
        <v>240</v>
      </c>
      <c r="C41" s="1" t="s">
        <v>33</v>
      </c>
      <c r="D41" s="1" t="s">
        <v>20</v>
      </c>
      <c r="E41" s="25" t="s">
        <v>241</v>
      </c>
    </row>
  </sheetData>
  <sheetProtection selectLockedCells="1" selectUnlockedCells="1"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4:L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27.875" style="1" customWidth="1"/>
    <col min="7" max="8" width="5.50390625" style="1" customWidth="1"/>
    <col min="9" max="9" width="2.125" style="1" customWidth="1"/>
    <col min="10" max="10" width="4.50390625" style="1" customWidth="1"/>
    <col min="11" max="11" width="6.375" style="1" customWidth="1"/>
    <col min="12" max="12" width="8.50390625" style="1" customWidth="1"/>
    <col min="13" max="13" width="7.125" style="1" customWidth="1"/>
  </cols>
  <sheetData>
    <row r="1" spans="1:13" s="3" customFormat="1" ht="15" customHeight="1">
      <c r="A1" s="2" t="s">
        <v>242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6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243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27" t="s">
        <v>244</v>
      </c>
      <c r="B6" s="27" t="s">
        <v>245</v>
      </c>
      <c r="C6" s="27" t="s">
        <v>246</v>
      </c>
      <c r="D6" s="27">
        <f>"0,5897"</f>
        <v>0</v>
      </c>
      <c r="E6" s="27" t="s">
        <v>247</v>
      </c>
      <c r="F6" s="27" t="s">
        <v>248</v>
      </c>
      <c r="G6" s="27" t="s">
        <v>249</v>
      </c>
      <c r="H6" s="28" t="s">
        <v>158</v>
      </c>
      <c r="I6" s="28"/>
      <c r="J6" s="28"/>
      <c r="K6" s="27">
        <v>195</v>
      </c>
      <c r="L6" s="27">
        <f>"114,9915"</f>
        <v>0</v>
      </c>
      <c r="M6" s="27"/>
    </row>
    <row r="7" spans="1:13" ht="12.75">
      <c r="A7" s="29" t="s">
        <v>244</v>
      </c>
      <c r="B7" s="29" t="s">
        <v>250</v>
      </c>
      <c r="C7" s="29" t="s">
        <v>246</v>
      </c>
      <c r="D7" s="29">
        <f>"0,9376"</f>
        <v>0</v>
      </c>
      <c r="E7" s="29" t="s">
        <v>247</v>
      </c>
      <c r="F7" s="29" t="s">
        <v>248</v>
      </c>
      <c r="G7" s="29" t="s">
        <v>249</v>
      </c>
      <c r="H7" s="30" t="s">
        <v>158</v>
      </c>
      <c r="I7" s="30"/>
      <c r="J7" s="30"/>
      <c r="K7" s="29">
        <v>195</v>
      </c>
      <c r="L7" s="29">
        <f>"182,8365"</f>
        <v>0</v>
      </c>
      <c r="M7" s="29"/>
    </row>
    <row r="9" ht="15">
      <c r="E9" s="18" t="s">
        <v>21</v>
      </c>
    </row>
    <row r="10" ht="15">
      <c r="E10" s="18" t="s">
        <v>22</v>
      </c>
    </row>
    <row r="11" ht="15">
      <c r="E11" s="18" t="s">
        <v>23</v>
      </c>
    </row>
    <row r="12" ht="12.75">
      <c r="E12" s="1" t="s">
        <v>24</v>
      </c>
    </row>
    <row r="13" ht="12.75">
      <c r="E13" s="1" t="s">
        <v>25</v>
      </c>
    </row>
    <row r="14" ht="12.75">
      <c r="E14" s="1" t="s">
        <v>26</v>
      </c>
    </row>
    <row r="17" spans="1:2" ht="17.25">
      <c r="A17" s="19" t="s">
        <v>27</v>
      </c>
      <c r="B17" s="19"/>
    </row>
    <row r="18" spans="1:2" ht="15">
      <c r="A18" s="20" t="s">
        <v>28</v>
      </c>
      <c r="B18" s="20"/>
    </row>
    <row r="19" spans="1:2" ht="14.25">
      <c r="A19" s="21" t="s">
        <v>29</v>
      </c>
      <c r="B19" s="22"/>
    </row>
    <row r="20" spans="1:5" ht="13.5">
      <c r="A20" s="23" t="s">
        <v>1</v>
      </c>
      <c r="B20" s="23" t="s">
        <v>30</v>
      </c>
      <c r="C20" s="23" t="s">
        <v>31</v>
      </c>
      <c r="D20" s="23" t="s">
        <v>8</v>
      </c>
      <c r="E20" s="23" t="s">
        <v>32</v>
      </c>
    </row>
    <row r="21" spans="1:5" ht="12.75">
      <c r="A21" s="24" t="s">
        <v>244</v>
      </c>
      <c r="B21" s="1" t="s">
        <v>29</v>
      </c>
      <c r="C21" s="1" t="s">
        <v>33</v>
      </c>
      <c r="D21" s="1" t="s">
        <v>249</v>
      </c>
      <c r="E21" s="25" t="s">
        <v>251</v>
      </c>
    </row>
    <row r="23" spans="1:2" ht="14.25">
      <c r="A23" s="21" t="s">
        <v>201</v>
      </c>
      <c r="B23" s="22"/>
    </row>
    <row r="24" spans="1:5" ht="13.5">
      <c r="A24" s="23" t="s">
        <v>1</v>
      </c>
      <c r="B24" s="23" t="s">
        <v>30</v>
      </c>
      <c r="C24" s="23" t="s">
        <v>31</v>
      </c>
      <c r="D24" s="23" t="s">
        <v>8</v>
      </c>
      <c r="E24" s="23" t="s">
        <v>32</v>
      </c>
    </row>
    <row r="25" spans="1:5" ht="12.75">
      <c r="A25" s="24" t="s">
        <v>244</v>
      </c>
      <c r="B25" s="1" t="s">
        <v>252</v>
      </c>
      <c r="C25" s="1" t="s">
        <v>33</v>
      </c>
      <c r="D25" s="1" t="s">
        <v>249</v>
      </c>
      <c r="E25" s="25" t="s">
        <v>253</v>
      </c>
    </row>
  </sheetData>
  <sheetProtection selectLockedCells="1" selectUnlockedCells="1"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8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26.50390625" style="1" customWidth="1"/>
    <col min="3" max="3" width="7.50390625" style="1" customWidth="1"/>
    <col min="4" max="4" width="6.50390625" style="1" customWidth="1"/>
    <col min="5" max="5" width="21.375" style="1" customWidth="1"/>
    <col min="6" max="6" width="34.00390625" style="1" customWidth="1"/>
    <col min="7" max="10" width="5.50390625" style="1" customWidth="1"/>
    <col min="11" max="11" width="6.375" style="1" customWidth="1"/>
    <col min="12" max="12" width="8.50390625" style="1" customWidth="1"/>
    <col min="13" max="13" width="18.50390625" style="1" customWidth="1"/>
  </cols>
  <sheetData>
    <row r="1" spans="1:13" s="3" customFormat="1" ht="15" customHeight="1">
      <c r="A1" s="2" t="s">
        <v>254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5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243</v>
      </c>
      <c r="H3" s="8"/>
      <c r="I3" s="8"/>
      <c r="J3" s="8"/>
      <c r="K3" s="9" t="s">
        <v>8</v>
      </c>
      <c r="L3" s="6" t="s">
        <v>9</v>
      </c>
      <c r="M3" s="10" t="s">
        <v>10</v>
      </c>
    </row>
    <row r="4" spans="1:13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9"/>
      <c r="L4" s="6"/>
      <c r="M4" s="10"/>
    </row>
    <row r="5" spans="1:12" ht="15">
      <c r="A5" s="15" t="s">
        <v>255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27" t="s">
        <v>256</v>
      </c>
      <c r="B6" s="27" t="s">
        <v>257</v>
      </c>
      <c r="C6" s="27" t="s">
        <v>258</v>
      </c>
      <c r="D6" s="27">
        <f aca="true" t="shared" si="0" ref="D6:D7">"1,0405"</f>
        <v>0</v>
      </c>
      <c r="E6" s="27" t="s">
        <v>56</v>
      </c>
      <c r="F6" s="27" t="s">
        <v>259</v>
      </c>
      <c r="G6" s="27" t="s">
        <v>260</v>
      </c>
      <c r="H6" s="27" t="s">
        <v>261</v>
      </c>
      <c r="I6" s="28" t="s">
        <v>262</v>
      </c>
      <c r="J6" s="28"/>
      <c r="K6" s="27">
        <v>70</v>
      </c>
      <c r="L6" s="27">
        <f>"72,8350"</f>
        <v>0</v>
      </c>
      <c r="M6" s="27"/>
    </row>
    <row r="7" spans="1:13" ht="12.75">
      <c r="A7" s="29" t="s">
        <v>263</v>
      </c>
      <c r="B7" s="29" t="s">
        <v>264</v>
      </c>
      <c r="C7" s="29" t="s">
        <v>258</v>
      </c>
      <c r="D7" s="29">
        <f t="shared" si="0"/>
        <v>0</v>
      </c>
      <c r="E7" s="29" t="s">
        <v>56</v>
      </c>
      <c r="F7" s="29" t="s">
        <v>57</v>
      </c>
      <c r="G7" s="30" t="s">
        <v>265</v>
      </c>
      <c r="H7" s="29" t="s">
        <v>265</v>
      </c>
      <c r="I7" s="30" t="s">
        <v>261</v>
      </c>
      <c r="J7" s="30"/>
      <c r="K7" s="29">
        <v>67.5</v>
      </c>
      <c r="L7" s="29">
        <f>"70,2338"</f>
        <v>0</v>
      </c>
      <c r="M7" s="29"/>
    </row>
    <row r="9" spans="1:12" ht="15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3" ht="12.75">
      <c r="A10" s="16" t="s">
        <v>40</v>
      </c>
      <c r="B10" s="16" t="s">
        <v>41</v>
      </c>
      <c r="C10" s="16" t="s">
        <v>42</v>
      </c>
      <c r="D10" s="16">
        <f>"0,9731"</f>
        <v>0</v>
      </c>
      <c r="E10" s="16" t="s">
        <v>43</v>
      </c>
      <c r="F10" s="16" t="s">
        <v>44</v>
      </c>
      <c r="G10" s="16" t="s">
        <v>266</v>
      </c>
      <c r="H10" s="17" t="s">
        <v>267</v>
      </c>
      <c r="I10" s="17" t="s">
        <v>267</v>
      </c>
      <c r="J10" s="17"/>
      <c r="K10" s="16">
        <v>37.5</v>
      </c>
      <c r="L10" s="16">
        <f>"36,4913"</f>
        <v>0</v>
      </c>
      <c r="M10" s="16"/>
    </row>
    <row r="12" spans="1:12" ht="15">
      <c r="A12" s="26" t="s">
        <v>47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3" ht="12.75">
      <c r="A13" s="27" t="s">
        <v>268</v>
      </c>
      <c r="B13" s="27" t="s">
        <v>269</v>
      </c>
      <c r="C13" s="27" t="s">
        <v>270</v>
      </c>
      <c r="D13" s="27">
        <f>"0,9110"</f>
        <v>0</v>
      </c>
      <c r="E13" s="27" t="s">
        <v>56</v>
      </c>
      <c r="F13" s="27" t="s">
        <v>271</v>
      </c>
      <c r="G13" s="27" t="s">
        <v>272</v>
      </c>
      <c r="H13" s="27" t="s">
        <v>273</v>
      </c>
      <c r="I13" s="27" t="s">
        <v>260</v>
      </c>
      <c r="J13" s="28"/>
      <c r="K13" s="27">
        <v>65</v>
      </c>
      <c r="L13" s="27">
        <f>"59,2150"</f>
        <v>0</v>
      </c>
      <c r="M13" s="27"/>
    </row>
    <row r="14" spans="1:13" ht="12.75">
      <c r="A14" s="31" t="s">
        <v>274</v>
      </c>
      <c r="B14" s="31" t="s">
        <v>275</v>
      </c>
      <c r="C14" s="31" t="s">
        <v>276</v>
      </c>
      <c r="D14" s="31">
        <f>"0,9086"</f>
        <v>0</v>
      </c>
      <c r="E14" s="31" t="s">
        <v>56</v>
      </c>
      <c r="F14" s="31" t="s">
        <v>57</v>
      </c>
      <c r="G14" s="31" t="s">
        <v>260</v>
      </c>
      <c r="H14" s="31" t="s">
        <v>265</v>
      </c>
      <c r="I14" s="31" t="s">
        <v>261</v>
      </c>
      <c r="J14" s="32"/>
      <c r="K14" s="31">
        <v>70</v>
      </c>
      <c r="L14" s="31">
        <f>"63,6020"</f>
        <v>0</v>
      </c>
      <c r="M14" s="31"/>
    </row>
    <row r="15" spans="1:13" ht="12.75">
      <c r="A15" s="29" t="s">
        <v>277</v>
      </c>
      <c r="B15" s="29" t="s">
        <v>278</v>
      </c>
      <c r="C15" s="29" t="s">
        <v>276</v>
      </c>
      <c r="D15" s="29">
        <f>"1,7899"</f>
        <v>0</v>
      </c>
      <c r="E15" s="29" t="s">
        <v>56</v>
      </c>
      <c r="F15" s="29" t="s">
        <v>57</v>
      </c>
      <c r="G15" s="29" t="s">
        <v>267</v>
      </c>
      <c r="H15" s="29" t="s">
        <v>279</v>
      </c>
      <c r="I15" s="30" t="s">
        <v>280</v>
      </c>
      <c r="J15" s="30"/>
      <c r="K15" s="29">
        <v>47.5</v>
      </c>
      <c r="L15" s="29">
        <f>"85,0222"</f>
        <v>0</v>
      </c>
      <c r="M15" s="29"/>
    </row>
    <row r="17" spans="1:12" ht="15">
      <c r="A17" s="26" t="s">
        <v>86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3" ht="12.75">
      <c r="A18" s="27" t="s">
        <v>281</v>
      </c>
      <c r="B18" s="27" t="s">
        <v>282</v>
      </c>
      <c r="C18" s="27" t="s">
        <v>283</v>
      </c>
      <c r="D18" s="27">
        <f aca="true" t="shared" si="1" ref="D18:D19">"0,8676"</f>
        <v>0</v>
      </c>
      <c r="E18" s="27" t="s">
        <v>284</v>
      </c>
      <c r="F18" s="27" t="s">
        <v>259</v>
      </c>
      <c r="G18" s="27" t="s">
        <v>262</v>
      </c>
      <c r="H18" s="28" t="s">
        <v>285</v>
      </c>
      <c r="I18" s="27" t="s">
        <v>285</v>
      </c>
      <c r="J18" s="28"/>
      <c r="K18" s="27">
        <v>77.5</v>
      </c>
      <c r="L18" s="27">
        <f>"67,2390"</f>
        <v>0</v>
      </c>
      <c r="M18" s="27"/>
    </row>
    <row r="19" spans="1:13" ht="12.75">
      <c r="A19" s="29" t="s">
        <v>286</v>
      </c>
      <c r="B19" s="29" t="s">
        <v>287</v>
      </c>
      <c r="C19" s="29" t="s">
        <v>283</v>
      </c>
      <c r="D19" s="29">
        <f t="shared" si="1"/>
        <v>0</v>
      </c>
      <c r="E19" s="29" t="s">
        <v>56</v>
      </c>
      <c r="F19" s="29" t="s">
        <v>57</v>
      </c>
      <c r="G19" s="29" t="s">
        <v>261</v>
      </c>
      <c r="H19" s="30" t="s">
        <v>66</v>
      </c>
      <c r="I19" s="29" t="s">
        <v>66</v>
      </c>
      <c r="J19" s="30"/>
      <c r="K19" s="29">
        <v>75</v>
      </c>
      <c r="L19" s="29">
        <f>"65,0700"</f>
        <v>0</v>
      </c>
      <c r="M19" s="29"/>
    </row>
    <row r="21" spans="1:12" ht="15">
      <c r="A21" s="26" t="s">
        <v>114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3" ht="12.75">
      <c r="A22" s="16" t="s">
        <v>288</v>
      </c>
      <c r="B22" s="16" t="s">
        <v>289</v>
      </c>
      <c r="C22" s="16" t="s">
        <v>290</v>
      </c>
      <c r="D22" s="16">
        <f>"0,7281"</f>
        <v>0</v>
      </c>
      <c r="E22" s="16" t="s">
        <v>56</v>
      </c>
      <c r="F22" s="16" t="s">
        <v>65</v>
      </c>
      <c r="G22" s="16" t="s">
        <v>267</v>
      </c>
      <c r="H22" s="16" t="s">
        <v>291</v>
      </c>
      <c r="I22" s="16" t="s">
        <v>292</v>
      </c>
      <c r="J22" s="17"/>
      <c r="K22" s="16">
        <v>55</v>
      </c>
      <c r="L22" s="16">
        <f>"40,0453"</f>
        <v>0</v>
      </c>
      <c r="M22" s="16"/>
    </row>
    <row r="24" spans="1:12" ht="15">
      <c r="A24" s="26" t="s">
        <v>39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3" ht="12.75">
      <c r="A25" s="16" t="s">
        <v>293</v>
      </c>
      <c r="B25" s="16" t="s">
        <v>294</v>
      </c>
      <c r="C25" s="16" t="s">
        <v>295</v>
      </c>
      <c r="D25" s="16">
        <f>"0,9645"</f>
        <v>0</v>
      </c>
      <c r="E25" s="16" t="s">
        <v>56</v>
      </c>
      <c r="F25" s="16" t="s">
        <v>57</v>
      </c>
      <c r="G25" s="16" t="s">
        <v>296</v>
      </c>
      <c r="H25" s="16" t="s">
        <v>76</v>
      </c>
      <c r="I25" s="16" t="s">
        <v>77</v>
      </c>
      <c r="J25" s="17"/>
      <c r="K25" s="16">
        <v>90</v>
      </c>
      <c r="L25" s="16">
        <f>"86,8050"</f>
        <v>0</v>
      </c>
      <c r="M25" s="16" t="s">
        <v>297</v>
      </c>
    </row>
    <row r="27" spans="1:12" ht="15">
      <c r="A27" s="26" t="s">
        <v>52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3" ht="12.75">
      <c r="A28" s="27" t="s">
        <v>298</v>
      </c>
      <c r="B28" s="27" t="s">
        <v>299</v>
      </c>
      <c r="C28" s="27" t="s">
        <v>300</v>
      </c>
      <c r="D28" s="27">
        <f>"0,7327"</f>
        <v>0</v>
      </c>
      <c r="E28" s="27" t="s">
        <v>56</v>
      </c>
      <c r="F28" s="27" t="s">
        <v>57</v>
      </c>
      <c r="G28" s="28" t="s">
        <v>146</v>
      </c>
      <c r="H28" s="28" t="s">
        <v>146</v>
      </c>
      <c r="I28" s="28" t="s">
        <v>146</v>
      </c>
      <c r="J28" s="28"/>
      <c r="K28" s="27">
        <v>0</v>
      </c>
      <c r="L28" s="27">
        <f>"0,0000"</f>
        <v>0</v>
      </c>
      <c r="M28" s="27"/>
    </row>
    <row r="29" spans="1:13" ht="12.75">
      <c r="A29" s="29" t="s">
        <v>301</v>
      </c>
      <c r="B29" s="29" t="s">
        <v>302</v>
      </c>
      <c r="C29" s="29" t="s">
        <v>303</v>
      </c>
      <c r="D29" s="29">
        <f>"0,7369"</f>
        <v>0</v>
      </c>
      <c r="E29" s="29" t="s">
        <v>56</v>
      </c>
      <c r="F29" s="29" t="s">
        <v>304</v>
      </c>
      <c r="G29" s="30" t="s">
        <v>60</v>
      </c>
      <c r="H29" s="29" t="s">
        <v>60</v>
      </c>
      <c r="I29" s="30" t="s">
        <v>305</v>
      </c>
      <c r="J29" s="30"/>
      <c r="K29" s="29">
        <v>107.5</v>
      </c>
      <c r="L29" s="29">
        <f>"79,2172"</f>
        <v>0</v>
      </c>
      <c r="M29" s="29"/>
    </row>
    <row r="31" spans="1:12" ht="15">
      <c r="A31" s="26" t="s">
        <v>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ht="12.75">
      <c r="A32" s="27" t="s">
        <v>306</v>
      </c>
      <c r="B32" s="27" t="s">
        <v>307</v>
      </c>
      <c r="C32" s="27" t="s">
        <v>308</v>
      </c>
      <c r="D32" s="27">
        <f>"0,6923"</f>
        <v>0</v>
      </c>
      <c r="E32" s="27" t="s">
        <v>56</v>
      </c>
      <c r="F32" s="27" t="s">
        <v>164</v>
      </c>
      <c r="G32" s="27" t="s">
        <v>77</v>
      </c>
      <c r="H32" s="27" t="s">
        <v>51</v>
      </c>
      <c r="I32" s="28" t="s">
        <v>309</v>
      </c>
      <c r="J32" s="28"/>
      <c r="K32" s="27">
        <v>105</v>
      </c>
      <c r="L32" s="27">
        <f>"72,6915"</f>
        <v>0</v>
      </c>
      <c r="M32" s="27"/>
    </row>
    <row r="33" spans="1:13" ht="12.75">
      <c r="A33" s="29" t="s">
        <v>310</v>
      </c>
      <c r="B33" s="29" t="s">
        <v>311</v>
      </c>
      <c r="C33" s="29" t="s">
        <v>312</v>
      </c>
      <c r="D33" s="29">
        <f>"0,6939"</f>
        <v>0</v>
      </c>
      <c r="E33" s="29" t="s">
        <v>56</v>
      </c>
      <c r="F33" s="29" t="s">
        <v>313</v>
      </c>
      <c r="G33" s="30" t="s">
        <v>314</v>
      </c>
      <c r="H33" s="30" t="s">
        <v>314</v>
      </c>
      <c r="I33" s="30" t="s">
        <v>314</v>
      </c>
      <c r="J33" s="30"/>
      <c r="K33" s="29">
        <v>0</v>
      </c>
      <c r="L33" s="29">
        <f>"0,0000"</f>
        <v>0</v>
      </c>
      <c r="M33" s="29"/>
    </row>
    <row r="35" spans="1:12" ht="15">
      <c r="A35" s="26" t="s">
        <v>114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3" ht="12.75">
      <c r="A36" s="27" t="s">
        <v>315</v>
      </c>
      <c r="B36" s="27" t="s">
        <v>316</v>
      </c>
      <c r="C36" s="27" t="s">
        <v>317</v>
      </c>
      <c r="D36" s="27">
        <f>"0,6412"</f>
        <v>0</v>
      </c>
      <c r="E36" s="27" t="s">
        <v>56</v>
      </c>
      <c r="F36" s="27" t="s">
        <v>57</v>
      </c>
      <c r="G36" s="27" t="s">
        <v>318</v>
      </c>
      <c r="H36" s="27" t="s">
        <v>319</v>
      </c>
      <c r="I36" s="27" t="s">
        <v>320</v>
      </c>
      <c r="J36" s="27" t="s">
        <v>110</v>
      </c>
      <c r="K36" s="27">
        <v>162.5</v>
      </c>
      <c r="L36" s="27">
        <f>"104,1950"</f>
        <v>0</v>
      </c>
      <c r="M36" s="27"/>
    </row>
    <row r="37" spans="1:13" ht="12.75">
      <c r="A37" s="31" t="s">
        <v>321</v>
      </c>
      <c r="B37" s="31" t="s">
        <v>322</v>
      </c>
      <c r="C37" s="31" t="s">
        <v>323</v>
      </c>
      <c r="D37" s="31">
        <f>"0,6193"</f>
        <v>0</v>
      </c>
      <c r="E37" s="31" t="s">
        <v>56</v>
      </c>
      <c r="F37" s="31" t="s">
        <v>57</v>
      </c>
      <c r="G37" s="31" t="s">
        <v>324</v>
      </c>
      <c r="H37" s="32" t="s">
        <v>319</v>
      </c>
      <c r="I37" s="31" t="s">
        <v>325</v>
      </c>
      <c r="J37" s="32"/>
      <c r="K37" s="31">
        <v>162.5</v>
      </c>
      <c r="L37" s="31">
        <f>"100,6363"</f>
        <v>0</v>
      </c>
      <c r="M37" s="31"/>
    </row>
    <row r="38" spans="1:13" ht="12.75">
      <c r="A38" s="31" t="s">
        <v>326</v>
      </c>
      <c r="B38" s="31" t="s">
        <v>327</v>
      </c>
      <c r="C38" s="31" t="s">
        <v>117</v>
      </c>
      <c r="D38" s="31">
        <f>"0,6273"</f>
        <v>0</v>
      </c>
      <c r="E38" s="31" t="s">
        <v>56</v>
      </c>
      <c r="F38" s="31" t="s">
        <v>164</v>
      </c>
      <c r="G38" s="32" t="s">
        <v>328</v>
      </c>
      <c r="H38" s="31" t="s">
        <v>328</v>
      </c>
      <c r="I38" s="32" t="s">
        <v>318</v>
      </c>
      <c r="J38" s="32"/>
      <c r="K38" s="31">
        <v>145</v>
      </c>
      <c r="L38" s="31">
        <f>"90,9585"</f>
        <v>0</v>
      </c>
      <c r="M38" s="31"/>
    </row>
    <row r="39" spans="1:13" ht="12.75">
      <c r="A39" s="31" t="s">
        <v>329</v>
      </c>
      <c r="B39" s="31" t="s">
        <v>330</v>
      </c>
      <c r="C39" s="31" t="s">
        <v>331</v>
      </c>
      <c r="D39" s="31">
        <f>"0,6246"</f>
        <v>0</v>
      </c>
      <c r="E39" s="31" t="s">
        <v>43</v>
      </c>
      <c r="F39" s="31" t="s">
        <v>332</v>
      </c>
      <c r="G39" s="31" t="s">
        <v>147</v>
      </c>
      <c r="H39" s="31" t="s">
        <v>328</v>
      </c>
      <c r="I39" s="32" t="s">
        <v>318</v>
      </c>
      <c r="J39" s="32"/>
      <c r="K39" s="31">
        <v>145</v>
      </c>
      <c r="L39" s="31">
        <f>"90,5670"</f>
        <v>0</v>
      </c>
      <c r="M39" s="31"/>
    </row>
    <row r="40" spans="1:13" ht="12.75">
      <c r="A40" s="31" t="s">
        <v>333</v>
      </c>
      <c r="B40" s="31" t="s">
        <v>334</v>
      </c>
      <c r="C40" s="31" t="s">
        <v>335</v>
      </c>
      <c r="D40" s="31">
        <f>"0,6241"</f>
        <v>0</v>
      </c>
      <c r="E40" s="31" t="s">
        <v>56</v>
      </c>
      <c r="F40" s="31" t="s">
        <v>57</v>
      </c>
      <c r="G40" s="31" t="s">
        <v>147</v>
      </c>
      <c r="H40" s="31" t="s">
        <v>328</v>
      </c>
      <c r="I40" s="32" t="s">
        <v>84</v>
      </c>
      <c r="J40" s="32"/>
      <c r="K40" s="31">
        <v>145</v>
      </c>
      <c r="L40" s="31">
        <f>"90,4945"</f>
        <v>0</v>
      </c>
      <c r="M40" s="31"/>
    </row>
    <row r="41" spans="1:13" ht="12.75">
      <c r="A41" s="31" t="s">
        <v>336</v>
      </c>
      <c r="B41" s="31" t="s">
        <v>337</v>
      </c>
      <c r="C41" s="31" t="s">
        <v>338</v>
      </c>
      <c r="D41" s="31">
        <f>"0,6370"</f>
        <v>0</v>
      </c>
      <c r="E41" s="31" t="s">
        <v>56</v>
      </c>
      <c r="F41" s="31" t="s">
        <v>57</v>
      </c>
      <c r="G41" s="32" t="s">
        <v>339</v>
      </c>
      <c r="H41" s="32" t="s">
        <v>339</v>
      </c>
      <c r="I41" s="32" t="s">
        <v>339</v>
      </c>
      <c r="J41" s="32"/>
      <c r="K41" s="31">
        <v>0</v>
      </c>
      <c r="L41" s="31">
        <f aca="true" t="shared" si="2" ref="L41:L42">"0,0000"</f>
        <v>0</v>
      </c>
      <c r="M41" s="31"/>
    </row>
    <row r="42" spans="1:13" ht="12.75">
      <c r="A42" s="29" t="s">
        <v>340</v>
      </c>
      <c r="B42" s="29" t="s">
        <v>341</v>
      </c>
      <c r="C42" s="29" t="s">
        <v>342</v>
      </c>
      <c r="D42" s="29">
        <f>"0,6233"</f>
        <v>0</v>
      </c>
      <c r="E42" s="29" t="s">
        <v>56</v>
      </c>
      <c r="F42" s="29" t="s">
        <v>57</v>
      </c>
      <c r="G42" s="30" t="s">
        <v>343</v>
      </c>
      <c r="H42" s="30" t="s">
        <v>328</v>
      </c>
      <c r="I42" s="30" t="s">
        <v>328</v>
      </c>
      <c r="J42" s="30"/>
      <c r="K42" s="29">
        <v>0</v>
      </c>
      <c r="L42" s="29">
        <f t="shared" si="2"/>
        <v>0</v>
      </c>
      <c r="M42" s="29"/>
    </row>
    <row r="44" spans="1:12" ht="15">
      <c r="A44" s="26" t="s">
        <v>12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3" ht="12.75">
      <c r="A45" s="27" t="s">
        <v>344</v>
      </c>
      <c r="B45" s="27" t="s">
        <v>345</v>
      </c>
      <c r="C45" s="27" t="s">
        <v>346</v>
      </c>
      <c r="D45" s="27">
        <f>"0,6147"</f>
        <v>0</v>
      </c>
      <c r="E45" s="27" t="s">
        <v>56</v>
      </c>
      <c r="F45" s="27" t="s">
        <v>57</v>
      </c>
      <c r="G45" s="27" t="s">
        <v>146</v>
      </c>
      <c r="H45" s="28" t="s">
        <v>328</v>
      </c>
      <c r="I45" s="27" t="s">
        <v>318</v>
      </c>
      <c r="J45" s="28"/>
      <c r="K45" s="27">
        <v>152.5</v>
      </c>
      <c r="L45" s="27">
        <f>"93,7418"</f>
        <v>0</v>
      </c>
      <c r="M45" s="27"/>
    </row>
    <row r="46" spans="1:13" ht="12.75">
      <c r="A46" s="31" t="s">
        <v>347</v>
      </c>
      <c r="B46" s="31" t="s">
        <v>348</v>
      </c>
      <c r="C46" s="31" t="s">
        <v>349</v>
      </c>
      <c r="D46" s="31">
        <f>"0,5918"</f>
        <v>0</v>
      </c>
      <c r="E46" s="31" t="s">
        <v>56</v>
      </c>
      <c r="F46" s="31" t="s">
        <v>152</v>
      </c>
      <c r="G46" s="31" t="s">
        <v>350</v>
      </c>
      <c r="H46" s="32" t="s">
        <v>82</v>
      </c>
      <c r="I46" s="31" t="s">
        <v>82</v>
      </c>
      <c r="J46" s="32"/>
      <c r="K46" s="31">
        <v>132.5</v>
      </c>
      <c r="L46" s="31">
        <f>"78,4135"</f>
        <v>0</v>
      </c>
      <c r="M46" s="31"/>
    </row>
    <row r="47" spans="1:13" ht="12.75">
      <c r="A47" s="31" t="s">
        <v>351</v>
      </c>
      <c r="B47" s="31" t="s">
        <v>352</v>
      </c>
      <c r="C47" s="31" t="s">
        <v>353</v>
      </c>
      <c r="D47" s="31">
        <f>"0,5939"</f>
        <v>0</v>
      </c>
      <c r="E47" s="31" t="s">
        <v>56</v>
      </c>
      <c r="F47" s="31" t="s">
        <v>57</v>
      </c>
      <c r="G47" s="31" t="s">
        <v>354</v>
      </c>
      <c r="H47" s="32" t="s">
        <v>355</v>
      </c>
      <c r="I47" s="32" t="s">
        <v>355</v>
      </c>
      <c r="J47" s="32"/>
      <c r="K47" s="31">
        <v>192.5</v>
      </c>
      <c r="L47" s="31">
        <f>"114,3258"</f>
        <v>0</v>
      </c>
      <c r="M47" s="31"/>
    </row>
    <row r="48" spans="1:13" ht="12.75">
      <c r="A48" s="31" t="s">
        <v>356</v>
      </c>
      <c r="B48" s="31" t="s">
        <v>357</v>
      </c>
      <c r="C48" s="31" t="s">
        <v>358</v>
      </c>
      <c r="D48" s="31">
        <f>"0,5853"</f>
        <v>0</v>
      </c>
      <c r="E48" s="31" t="s">
        <v>56</v>
      </c>
      <c r="F48" s="31" t="s">
        <v>57</v>
      </c>
      <c r="G48" s="32" t="s">
        <v>359</v>
      </c>
      <c r="H48" s="32" t="s">
        <v>359</v>
      </c>
      <c r="I48" s="31" t="s">
        <v>359</v>
      </c>
      <c r="J48" s="32"/>
      <c r="K48" s="31">
        <v>175</v>
      </c>
      <c r="L48" s="31">
        <f>"102,4275"</f>
        <v>0</v>
      </c>
      <c r="M48" s="31"/>
    </row>
    <row r="49" spans="1:13" ht="12.75">
      <c r="A49" s="31" t="s">
        <v>360</v>
      </c>
      <c r="B49" s="31" t="s">
        <v>361</v>
      </c>
      <c r="C49" s="31" t="s">
        <v>138</v>
      </c>
      <c r="D49" s="31">
        <f>"0,5926"</f>
        <v>0</v>
      </c>
      <c r="E49" s="31" t="s">
        <v>56</v>
      </c>
      <c r="F49" s="31" t="s">
        <v>57</v>
      </c>
      <c r="G49" s="31" t="s">
        <v>84</v>
      </c>
      <c r="H49" s="31" t="s">
        <v>324</v>
      </c>
      <c r="I49" s="32" t="s">
        <v>325</v>
      </c>
      <c r="J49" s="32"/>
      <c r="K49" s="31">
        <v>155</v>
      </c>
      <c r="L49" s="31">
        <f>"91,8530"</f>
        <v>0</v>
      </c>
      <c r="M49" s="31"/>
    </row>
    <row r="50" spans="1:13" ht="12.75">
      <c r="A50" s="31" t="s">
        <v>362</v>
      </c>
      <c r="B50" s="31" t="s">
        <v>363</v>
      </c>
      <c r="C50" s="31" t="s">
        <v>358</v>
      </c>
      <c r="D50" s="31">
        <f>"0,5853"</f>
        <v>0</v>
      </c>
      <c r="E50" s="31" t="s">
        <v>56</v>
      </c>
      <c r="F50" s="31" t="s">
        <v>57</v>
      </c>
      <c r="G50" s="31" t="s">
        <v>119</v>
      </c>
      <c r="H50" s="31" t="s">
        <v>82</v>
      </c>
      <c r="I50" s="31" t="s">
        <v>146</v>
      </c>
      <c r="J50" s="32"/>
      <c r="K50" s="31">
        <v>135</v>
      </c>
      <c r="L50" s="31">
        <f>"79,0155"</f>
        <v>0</v>
      </c>
      <c r="M50" s="31"/>
    </row>
    <row r="51" spans="1:13" ht="12.75">
      <c r="A51" s="31" t="s">
        <v>364</v>
      </c>
      <c r="B51" s="31" t="s">
        <v>365</v>
      </c>
      <c r="C51" s="31" t="s">
        <v>366</v>
      </c>
      <c r="D51" s="31">
        <f>"0,6013"</f>
        <v>0</v>
      </c>
      <c r="E51" s="31" t="s">
        <v>56</v>
      </c>
      <c r="F51" s="31" t="s">
        <v>57</v>
      </c>
      <c r="G51" s="32" t="s">
        <v>82</v>
      </c>
      <c r="H51" s="31" t="s">
        <v>82</v>
      </c>
      <c r="I51" s="32" t="s">
        <v>146</v>
      </c>
      <c r="J51" s="32"/>
      <c r="K51" s="31">
        <v>132.5</v>
      </c>
      <c r="L51" s="31">
        <f>"79,6723"</f>
        <v>0</v>
      </c>
      <c r="M51" s="31"/>
    </row>
    <row r="52" spans="1:13" ht="12.75">
      <c r="A52" s="31" t="s">
        <v>367</v>
      </c>
      <c r="B52" s="31" t="s">
        <v>368</v>
      </c>
      <c r="C52" s="31" t="s">
        <v>369</v>
      </c>
      <c r="D52" s="31">
        <f>"0,6036"</f>
        <v>0</v>
      </c>
      <c r="E52" s="31" t="s">
        <v>56</v>
      </c>
      <c r="F52" s="31" t="s">
        <v>370</v>
      </c>
      <c r="G52" s="32" t="s">
        <v>82</v>
      </c>
      <c r="H52" s="32" t="s">
        <v>82</v>
      </c>
      <c r="I52" s="32" t="s">
        <v>82</v>
      </c>
      <c r="J52" s="32"/>
      <c r="K52" s="31">
        <v>0</v>
      </c>
      <c r="L52" s="31">
        <f aca="true" t="shared" si="3" ref="L52:L53">"0,0000"</f>
        <v>0</v>
      </c>
      <c r="M52" s="31"/>
    </row>
    <row r="53" spans="1:13" ht="12.75">
      <c r="A53" s="31" t="s">
        <v>371</v>
      </c>
      <c r="B53" s="31" t="s">
        <v>372</v>
      </c>
      <c r="C53" s="31" t="s">
        <v>373</v>
      </c>
      <c r="D53" s="31">
        <f>"0,5956"</f>
        <v>0</v>
      </c>
      <c r="E53" s="31" t="s">
        <v>56</v>
      </c>
      <c r="F53" s="31" t="s">
        <v>57</v>
      </c>
      <c r="G53" s="32" t="s">
        <v>305</v>
      </c>
      <c r="H53" s="32" t="s">
        <v>82</v>
      </c>
      <c r="I53" s="32" t="s">
        <v>82</v>
      </c>
      <c r="J53" s="32"/>
      <c r="K53" s="31">
        <v>0</v>
      </c>
      <c r="L53" s="31">
        <f t="shared" si="3"/>
        <v>0</v>
      </c>
      <c r="M53" s="31"/>
    </row>
    <row r="54" spans="1:13" ht="12.75">
      <c r="A54" s="31" t="s">
        <v>356</v>
      </c>
      <c r="B54" s="31" t="s">
        <v>374</v>
      </c>
      <c r="C54" s="31" t="s">
        <v>358</v>
      </c>
      <c r="D54" s="31">
        <f>"0,5871"</f>
        <v>0</v>
      </c>
      <c r="E54" s="31" t="s">
        <v>56</v>
      </c>
      <c r="F54" s="31" t="s">
        <v>57</v>
      </c>
      <c r="G54" s="32" t="s">
        <v>359</v>
      </c>
      <c r="H54" s="32" t="s">
        <v>359</v>
      </c>
      <c r="I54" s="31" t="s">
        <v>359</v>
      </c>
      <c r="J54" s="32"/>
      <c r="K54" s="31">
        <v>175</v>
      </c>
      <c r="L54" s="31">
        <f>"102,7348"</f>
        <v>0</v>
      </c>
      <c r="M54" s="31"/>
    </row>
    <row r="55" spans="1:13" ht="12.75">
      <c r="A55" s="31" t="s">
        <v>375</v>
      </c>
      <c r="B55" s="31" t="s">
        <v>376</v>
      </c>
      <c r="C55" s="31" t="s">
        <v>377</v>
      </c>
      <c r="D55" s="31">
        <f>"0,6279"</f>
        <v>0</v>
      </c>
      <c r="E55" s="31" t="s">
        <v>56</v>
      </c>
      <c r="F55" s="31" t="s">
        <v>378</v>
      </c>
      <c r="G55" s="31" t="s">
        <v>110</v>
      </c>
      <c r="H55" s="31" t="s">
        <v>379</v>
      </c>
      <c r="I55" s="31" t="s">
        <v>359</v>
      </c>
      <c r="J55" s="32"/>
      <c r="K55" s="31">
        <v>175</v>
      </c>
      <c r="L55" s="31">
        <f>"109,8749"</f>
        <v>0</v>
      </c>
      <c r="M55" s="31"/>
    </row>
    <row r="56" spans="1:13" ht="12.75">
      <c r="A56" s="29" t="s">
        <v>244</v>
      </c>
      <c r="B56" s="29" t="s">
        <v>250</v>
      </c>
      <c r="C56" s="29" t="s">
        <v>246</v>
      </c>
      <c r="D56" s="29">
        <f>"0,9376"</f>
        <v>0</v>
      </c>
      <c r="E56" s="29" t="s">
        <v>247</v>
      </c>
      <c r="F56" s="29" t="s">
        <v>248</v>
      </c>
      <c r="G56" s="29" t="s">
        <v>146</v>
      </c>
      <c r="H56" s="30" t="s">
        <v>328</v>
      </c>
      <c r="I56" s="30" t="s">
        <v>328</v>
      </c>
      <c r="J56" s="30"/>
      <c r="K56" s="29">
        <v>135</v>
      </c>
      <c r="L56" s="29">
        <f>"126,5791"</f>
        <v>0</v>
      </c>
      <c r="M56" s="29"/>
    </row>
    <row r="58" spans="1:12" ht="15">
      <c r="A58" s="26" t="s">
        <v>148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3" ht="12.75">
      <c r="A59" s="27" t="s">
        <v>380</v>
      </c>
      <c r="B59" s="27" t="s">
        <v>381</v>
      </c>
      <c r="C59" s="27" t="s">
        <v>382</v>
      </c>
      <c r="D59" s="27">
        <f>"0,5616"</f>
        <v>0</v>
      </c>
      <c r="E59" s="27" t="s">
        <v>56</v>
      </c>
      <c r="F59" s="27" t="s">
        <v>57</v>
      </c>
      <c r="G59" s="27" t="s">
        <v>119</v>
      </c>
      <c r="H59" s="28" t="s">
        <v>147</v>
      </c>
      <c r="I59" s="27" t="s">
        <v>147</v>
      </c>
      <c r="J59" s="28"/>
      <c r="K59" s="27">
        <v>140</v>
      </c>
      <c r="L59" s="27">
        <f>"78,6240"</f>
        <v>0</v>
      </c>
      <c r="M59" s="27"/>
    </row>
    <row r="60" spans="1:13" ht="12.75">
      <c r="A60" s="31" t="s">
        <v>383</v>
      </c>
      <c r="B60" s="31" t="s">
        <v>384</v>
      </c>
      <c r="C60" s="31" t="s">
        <v>385</v>
      </c>
      <c r="D60" s="31">
        <f>"0,5717"</f>
        <v>0</v>
      </c>
      <c r="E60" s="31" t="s">
        <v>109</v>
      </c>
      <c r="F60" s="31" t="s">
        <v>57</v>
      </c>
      <c r="G60" s="31" t="s">
        <v>110</v>
      </c>
      <c r="H60" s="31" t="s">
        <v>359</v>
      </c>
      <c r="I60" s="31" t="s">
        <v>386</v>
      </c>
      <c r="J60" s="32"/>
      <c r="K60" s="31">
        <v>185</v>
      </c>
      <c r="L60" s="31">
        <f>"105,7645"</f>
        <v>0</v>
      </c>
      <c r="M60" s="31"/>
    </row>
    <row r="61" spans="1:13" ht="12.75">
      <c r="A61" s="31" t="s">
        <v>387</v>
      </c>
      <c r="B61" s="31" t="s">
        <v>388</v>
      </c>
      <c r="C61" s="31" t="s">
        <v>389</v>
      </c>
      <c r="D61" s="31">
        <f>"0,5555"</f>
        <v>0</v>
      </c>
      <c r="E61" s="31" t="s">
        <v>247</v>
      </c>
      <c r="F61" s="31" t="s">
        <v>390</v>
      </c>
      <c r="G61" s="31" t="s">
        <v>359</v>
      </c>
      <c r="H61" s="31" t="s">
        <v>386</v>
      </c>
      <c r="I61" s="32" t="s">
        <v>18</v>
      </c>
      <c r="J61" s="32"/>
      <c r="K61" s="31">
        <v>185</v>
      </c>
      <c r="L61" s="31">
        <f>"102,7675"</f>
        <v>0</v>
      </c>
      <c r="M61" s="31"/>
    </row>
    <row r="62" spans="1:13" ht="12.75">
      <c r="A62" s="31" t="s">
        <v>391</v>
      </c>
      <c r="B62" s="31" t="s">
        <v>392</v>
      </c>
      <c r="C62" s="31" t="s">
        <v>393</v>
      </c>
      <c r="D62" s="31">
        <f>"0,5575"</f>
        <v>0</v>
      </c>
      <c r="E62" s="31" t="s">
        <v>56</v>
      </c>
      <c r="F62" s="31" t="s">
        <v>57</v>
      </c>
      <c r="G62" s="31" t="s">
        <v>84</v>
      </c>
      <c r="H62" s="31" t="s">
        <v>394</v>
      </c>
      <c r="I62" s="32" t="s">
        <v>325</v>
      </c>
      <c r="J62" s="32"/>
      <c r="K62" s="31">
        <v>157.5</v>
      </c>
      <c r="L62" s="31">
        <f>"87,8063"</f>
        <v>0</v>
      </c>
      <c r="M62" s="31"/>
    </row>
    <row r="63" spans="1:13" ht="12.75">
      <c r="A63" s="29" t="s">
        <v>154</v>
      </c>
      <c r="B63" s="29" t="s">
        <v>155</v>
      </c>
      <c r="C63" s="29" t="s">
        <v>395</v>
      </c>
      <c r="D63" s="29">
        <f>"0,6998"</f>
        <v>0</v>
      </c>
      <c r="E63" s="29" t="s">
        <v>81</v>
      </c>
      <c r="F63" s="29" t="s">
        <v>157</v>
      </c>
      <c r="G63" s="29" t="s">
        <v>146</v>
      </c>
      <c r="H63" s="29" t="s">
        <v>328</v>
      </c>
      <c r="I63" s="30" t="s">
        <v>396</v>
      </c>
      <c r="J63" s="30"/>
      <c r="K63" s="29">
        <v>145</v>
      </c>
      <c r="L63" s="29">
        <f>"101,4692"</f>
        <v>0</v>
      </c>
      <c r="M63" s="29"/>
    </row>
    <row r="65" spans="1:12" ht="15">
      <c r="A65" s="26" t="s">
        <v>160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3" ht="12.75">
      <c r="A66" s="27" t="s">
        <v>397</v>
      </c>
      <c r="B66" s="27" t="s">
        <v>398</v>
      </c>
      <c r="C66" s="27" t="s">
        <v>399</v>
      </c>
      <c r="D66" s="27">
        <f>"0,5483"</f>
        <v>0</v>
      </c>
      <c r="E66" s="27" t="s">
        <v>56</v>
      </c>
      <c r="F66" s="27" t="s">
        <v>57</v>
      </c>
      <c r="G66" s="27" t="s">
        <v>394</v>
      </c>
      <c r="H66" s="27" t="s">
        <v>110</v>
      </c>
      <c r="I66" s="27" t="s">
        <v>379</v>
      </c>
      <c r="J66" s="28"/>
      <c r="K66" s="27">
        <v>170</v>
      </c>
      <c r="L66" s="27">
        <f>"93,2110"</f>
        <v>0</v>
      </c>
      <c r="M66" s="27"/>
    </row>
    <row r="67" spans="1:13" ht="12.75">
      <c r="A67" s="29" t="s">
        <v>400</v>
      </c>
      <c r="B67" s="29" t="s">
        <v>401</v>
      </c>
      <c r="C67" s="29" t="s">
        <v>402</v>
      </c>
      <c r="D67" s="29">
        <f>"0,6055"</f>
        <v>0</v>
      </c>
      <c r="E67" s="29" t="s">
        <v>403</v>
      </c>
      <c r="F67" s="29" t="s">
        <v>57</v>
      </c>
      <c r="G67" s="29" t="s">
        <v>84</v>
      </c>
      <c r="H67" s="30" t="s">
        <v>324</v>
      </c>
      <c r="I67" s="29" t="s">
        <v>394</v>
      </c>
      <c r="J67" s="30"/>
      <c r="K67" s="29">
        <v>157.5</v>
      </c>
      <c r="L67" s="29">
        <f>"95,3703"</f>
        <v>0</v>
      </c>
      <c r="M67" s="29"/>
    </row>
    <row r="69" spans="1:12" ht="15">
      <c r="A69" s="26" t="s">
        <v>165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3" ht="12.75">
      <c r="A70" s="27" t="s">
        <v>404</v>
      </c>
      <c r="B70" s="27" t="s">
        <v>405</v>
      </c>
      <c r="C70" s="27" t="s">
        <v>406</v>
      </c>
      <c r="D70" s="27">
        <f>"0,5323"</f>
        <v>0</v>
      </c>
      <c r="E70" s="27" t="s">
        <v>56</v>
      </c>
      <c r="F70" s="27" t="s">
        <v>164</v>
      </c>
      <c r="G70" s="27" t="s">
        <v>324</v>
      </c>
      <c r="H70" s="27" t="s">
        <v>319</v>
      </c>
      <c r="I70" s="27" t="s">
        <v>325</v>
      </c>
      <c r="J70" s="28"/>
      <c r="K70" s="27">
        <v>162.5</v>
      </c>
      <c r="L70" s="27">
        <f>"86,4987"</f>
        <v>0</v>
      </c>
      <c r="M70" s="27"/>
    </row>
    <row r="71" spans="1:13" ht="12.75">
      <c r="A71" s="31" t="s">
        <v>407</v>
      </c>
      <c r="B71" s="31" t="s">
        <v>70</v>
      </c>
      <c r="C71" s="31" t="s">
        <v>408</v>
      </c>
      <c r="D71" s="31">
        <f>"0,5258"</f>
        <v>0</v>
      </c>
      <c r="E71" s="31" t="s">
        <v>56</v>
      </c>
      <c r="F71" s="31" t="s">
        <v>409</v>
      </c>
      <c r="G71" s="32" t="s">
        <v>318</v>
      </c>
      <c r="H71" s="31" t="s">
        <v>324</v>
      </c>
      <c r="I71" s="31" t="s">
        <v>319</v>
      </c>
      <c r="J71" s="32"/>
      <c r="K71" s="31">
        <v>160</v>
      </c>
      <c r="L71" s="31">
        <f>"84,1280"</f>
        <v>0</v>
      </c>
      <c r="M71" s="31"/>
    </row>
    <row r="72" spans="1:13" ht="12.75">
      <c r="A72" s="31" t="s">
        <v>410</v>
      </c>
      <c r="B72" s="31" t="s">
        <v>411</v>
      </c>
      <c r="C72" s="31" t="s">
        <v>412</v>
      </c>
      <c r="D72" s="31">
        <f>"0,5824"</f>
        <v>0</v>
      </c>
      <c r="E72" s="31" t="s">
        <v>56</v>
      </c>
      <c r="F72" s="31" t="s">
        <v>57</v>
      </c>
      <c r="G72" s="31" t="s">
        <v>379</v>
      </c>
      <c r="H72" s="32" t="s">
        <v>413</v>
      </c>
      <c r="I72" s="32" t="s">
        <v>413</v>
      </c>
      <c r="J72" s="32"/>
      <c r="K72" s="31">
        <v>170</v>
      </c>
      <c r="L72" s="31">
        <f>"99,0018"</f>
        <v>0</v>
      </c>
      <c r="M72" s="31"/>
    </row>
    <row r="73" spans="1:13" ht="12.75">
      <c r="A73" s="29" t="s">
        <v>414</v>
      </c>
      <c r="B73" s="29" t="s">
        <v>415</v>
      </c>
      <c r="C73" s="29" t="s">
        <v>416</v>
      </c>
      <c r="D73" s="29">
        <f>"0,6931"</f>
        <v>0</v>
      </c>
      <c r="E73" s="29" t="s">
        <v>403</v>
      </c>
      <c r="F73" s="29" t="s">
        <v>57</v>
      </c>
      <c r="G73" s="29" t="s">
        <v>379</v>
      </c>
      <c r="H73" s="29" t="s">
        <v>359</v>
      </c>
      <c r="I73" s="30" t="s">
        <v>111</v>
      </c>
      <c r="J73" s="30"/>
      <c r="K73" s="29">
        <v>175</v>
      </c>
      <c r="L73" s="29">
        <f>"121,2860"</f>
        <v>0</v>
      </c>
      <c r="M73" s="29"/>
    </row>
    <row r="75" spans="1:12" ht="15">
      <c r="A75" s="26" t="s">
        <v>417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3" ht="12.75">
      <c r="A76" s="16" t="s">
        <v>418</v>
      </c>
      <c r="B76" s="16" t="s">
        <v>419</v>
      </c>
      <c r="C76" s="16" t="s">
        <v>420</v>
      </c>
      <c r="D76" s="16">
        <f>"0,5207"</f>
        <v>0</v>
      </c>
      <c r="E76" s="16" t="s">
        <v>56</v>
      </c>
      <c r="F76" s="16" t="s">
        <v>421</v>
      </c>
      <c r="G76" s="16" t="s">
        <v>319</v>
      </c>
      <c r="H76" s="17" t="s">
        <v>379</v>
      </c>
      <c r="I76" s="17" t="s">
        <v>379</v>
      </c>
      <c r="J76" s="17"/>
      <c r="K76" s="16">
        <v>160</v>
      </c>
      <c r="L76" s="16">
        <f>"83,3160"</f>
        <v>0</v>
      </c>
      <c r="M76" s="16"/>
    </row>
    <row r="78" ht="15">
      <c r="E78" s="18" t="s">
        <v>21</v>
      </c>
    </row>
    <row r="79" ht="15">
      <c r="E79" s="18" t="s">
        <v>22</v>
      </c>
    </row>
    <row r="80" ht="15">
      <c r="E80" s="18" t="s">
        <v>23</v>
      </c>
    </row>
    <row r="81" ht="12.75">
      <c r="E81" s="1" t="s">
        <v>24</v>
      </c>
    </row>
    <row r="82" ht="12.75">
      <c r="E82" s="1" t="s">
        <v>25</v>
      </c>
    </row>
    <row r="83" ht="12.75">
      <c r="E83" s="1" t="s">
        <v>26</v>
      </c>
    </row>
    <row r="86" spans="1:2" ht="17.25">
      <c r="A86" s="19" t="s">
        <v>27</v>
      </c>
      <c r="B86" s="19"/>
    </row>
    <row r="87" spans="1:2" ht="15">
      <c r="A87" s="20" t="s">
        <v>169</v>
      </c>
      <c r="B87" s="20"/>
    </row>
    <row r="88" spans="1:2" ht="14.25">
      <c r="A88" s="21" t="s">
        <v>183</v>
      </c>
      <c r="B88" s="22"/>
    </row>
    <row r="89" spans="1:5" ht="13.5">
      <c r="A89" s="23" t="s">
        <v>1</v>
      </c>
      <c r="B89" s="23" t="s">
        <v>30</v>
      </c>
      <c r="C89" s="23" t="s">
        <v>31</v>
      </c>
      <c r="D89" s="23" t="s">
        <v>8</v>
      </c>
      <c r="E89" s="23" t="s">
        <v>32</v>
      </c>
    </row>
    <row r="90" spans="1:5" ht="12.75">
      <c r="A90" s="24" t="s">
        <v>268</v>
      </c>
      <c r="B90" s="1" t="s">
        <v>184</v>
      </c>
      <c r="C90" s="1" t="s">
        <v>422</v>
      </c>
      <c r="D90" s="1" t="s">
        <v>260</v>
      </c>
      <c r="E90" s="25" t="s">
        <v>423</v>
      </c>
    </row>
    <row r="92" spans="1:2" ht="14.25">
      <c r="A92" s="21" t="s">
        <v>29</v>
      </c>
      <c r="B92" s="22"/>
    </row>
    <row r="93" spans="1:5" ht="13.5">
      <c r="A93" s="23" t="s">
        <v>1</v>
      </c>
      <c r="B93" s="23" t="s">
        <v>30</v>
      </c>
      <c r="C93" s="23" t="s">
        <v>31</v>
      </c>
      <c r="D93" s="23" t="s">
        <v>8</v>
      </c>
      <c r="E93" s="23" t="s">
        <v>32</v>
      </c>
    </row>
    <row r="94" spans="1:5" ht="12.75">
      <c r="A94" s="24" t="s">
        <v>256</v>
      </c>
      <c r="B94" s="1" t="s">
        <v>29</v>
      </c>
      <c r="C94" s="1" t="s">
        <v>424</v>
      </c>
      <c r="D94" s="1" t="s">
        <v>261</v>
      </c>
      <c r="E94" s="25" t="s">
        <v>425</v>
      </c>
    </row>
    <row r="95" spans="1:5" ht="12.75">
      <c r="A95" s="24" t="s">
        <v>263</v>
      </c>
      <c r="B95" s="1" t="s">
        <v>29</v>
      </c>
      <c r="C95" s="1" t="s">
        <v>424</v>
      </c>
      <c r="D95" s="1" t="s">
        <v>265</v>
      </c>
      <c r="E95" s="25" t="s">
        <v>426</v>
      </c>
    </row>
    <row r="96" spans="1:5" ht="12.75">
      <c r="A96" s="24" t="s">
        <v>281</v>
      </c>
      <c r="B96" s="1" t="s">
        <v>29</v>
      </c>
      <c r="C96" s="1" t="s">
        <v>181</v>
      </c>
      <c r="D96" s="1" t="s">
        <v>285</v>
      </c>
      <c r="E96" s="25" t="s">
        <v>427</v>
      </c>
    </row>
    <row r="97" spans="1:5" ht="12.75">
      <c r="A97" s="24" t="s">
        <v>286</v>
      </c>
      <c r="B97" s="1" t="s">
        <v>29</v>
      </c>
      <c r="C97" s="1" t="s">
        <v>181</v>
      </c>
      <c r="D97" s="1" t="s">
        <v>66</v>
      </c>
      <c r="E97" s="25" t="s">
        <v>428</v>
      </c>
    </row>
    <row r="98" spans="1:5" ht="12.75">
      <c r="A98" s="24" t="s">
        <v>274</v>
      </c>
      <c r="B98" s="1" t="s">
        <v>29</v>
      </c>
      <c r="C98" s="1" t="s">
        <v>422</v>
      </c>
      <c r="D98" s="1" t="s">
        <v>261</v>
      </c>
      <c r="E98" s="25" t="s">
        <v>429</v>
      </c>
    </row>
    <row r="99" spans="1:5" ht="12.75">
      <c r="A99" s="24" t="s">
        <v>40</v>
      </c>
      <c r="B99" s="1" t="s">
        <v>29</v>
      </c>
      <c r="C99" s="1" t="s">
        <v>173</v>
      </c>
      <c r="D99" s="1" t="s">
        <v>266</v>
      </c>
      <c r="E99" s="25" t="s">
        <v>430</v>
      </c>
    </row>
    <row r="101" spans="1:2" ht="14.25">
      <c r="A101" s="21" t="s">
        <v>201</v>
      </c>
      <c r="B101" s="22"/>
    </row>
    <row r="102" spans="1:5" ht="13.5">
      <c r="A102" s="23" t="s">
        <v>1</v>
      </c>
      <c r="B102" s="23" t="s">
        <v>30</v>
      </c>
      <c r="C102" s="23" t="s">
        <v>31</v>
      </c>
      <c r="D102" s="23" t="s">
        <v>8</v>
      </c>
      <c r="E102" s="23" t="s">
        <v>32</v>
      </c>
    </row>
    <row r="103" spans="1:5" ht="12.75">
      <c r="A103" s="24" t="s">
        <v>277</v>
      </c>
      <c r="B103" s="1" t="s">
        <v>431</v>
      </c>
      <c r="C103" s="1" t="s">
        <v>422</v>
      </c>
      <c r="D103" s="1" t="s">
        <v>279</v>
      </c>
      <c r="E103" s="25" t="s">
        <v>432</v>
      </c>
    </row>
    <row r="104" spans="1:5" ht="12.75">
      <c r="A104" s="24" t="s">
        <v>288</v>
      </c>
      <c r="B104" s="1" t="s">
        <v>240</v>
      </c>
      <c r="C104" s="1" t="s">
        <v>199</v>
      </c>
      <c r="D104" s="1" t="s">
        <v>292</v>
      </c>
      <c r="E104" s="25" t="s">
        <v>433</v>
      </c>
    </row>
    <row r="107" spans="1:2" ht="15">
      <c r="A107" s="20" t="s">
        <v>28</v>
      </c>
      <c r="B107" s="20"/>
    </row>
    <row r="108" spans="1:2" ht="14.25">
      <c r="A108" s="21" t="s">
        <v>179</v>
      </c>
      <c r="B108" s="22"/>
    </row>
    <row r="109" spans="1:5" ht="13.5">
      <c r="A109" s="23" t="s">
        <v>1</v>
      </c>
      <c r="B109" s="23" t="s">
        <v>30</v>
      </c>
      <c r="C109" s="23" t="s">
        <v>31</v>
      </c>
      <c r="D109" s="23" t="s">
        <v>8</v>
      </c>
      <c r="E109" s="23" t="s">
        <v>32</v>
      </c>
    </row>
    <row r="110" spans="1:5" ht="12.75">
      <c r="A110" s="24" t="s">
        <v>306</v>
      </c>
      <c r="B110" s="1" t="s">
        <v>434</v>
      </c>
      <c r="C110" s="1" t="s">
        <v>175</v>
      </c>
      <c r="D110" s="1" t="s">
        <v>51</v>
      </c>
      <c r="E110" s="25" t="s">
        <v>435</v>
      </c>
    </row>
    <row r="112" spans="1:2" ht="14.25">
      <c r="A112" s="21" t="s">
        <v>183</v>
      </c>
      <c r="B112" s="22"/>
    </row>
    <row r="113" spans="1:5" ht="13.5">
      <c r="A113" s="23" t="s">
        <v>1</v>
      </c>
      <c r="B113" s="23" t="s">
        <v>30</v>
      </c>
      <c r="C113" s="23" t="s">
        <v>31</v>
      </c>
      <c r="D113" s="23" t="s">
        <v>8</v>
      </c>
      <c r="E113" s="23" t="s">
        <v>32</v>
      </c>
    </row>
    <row r="114" spans="1:5" ht="12.75">
      <c r="A114" s="24" t="s">
        <v>315</v>
      </c>
      <c r="B114" s="1" t="s">
        <v>184</v>
      </c>
      <c r="C114" s="1" t="s">
        <v>199</v>
      </c>
      <c r="D114" s="1" t="s">
        <v>325</v>
      </c>
      <c r="E114" s="25" t="s">
        <v>436</v>
      </c>
    </row>
    <row r="115" spans="1:5" ht="12.75">
      <c r="A115" s="24" t="s">
        <v>344</v>
      </c>
      <c r="B115" s="1" t="s">
        <v>184</v>
      </c>
      <c r="C115" s="1" t="s">
        <v>33</v>
      </c>
      <c r="D115" s="1" t="s">
        <v>318</v>
      </c>
      <c r="E115" s="25" t="s">
        <v>437</v>
      </c>
    </row>
    <row r="116" spans="1:5" ht="12.75">
      <c r="A116" s="24" t="s">
        <v>293</v>
      </c>
      <c r="B116" s="1" t="s">
        <v>184</v>
      </c>
      <c r="C116" s="1" t="s">
        <v>173</v>
      </c>
      <c r="D116" s="1" t="s">
        <v>77</v>
      </c>
      <c r="E116" s="25" t="s">
        <v>438</v>
      </c>
    </row>
    <row r="117" spans="1:5" ht="12.75">
      <c r="A117" s="24" t="s">
        <v>380</v>
      </c>
      <c r="B117" s="1" t="s">
        <v>184</v>
      </c>
      <c r="C117" s="1" t="s">
        <v>196</v>
      </c>
      <c r="D117" s="1" t="s">
        <v>147</v>
      </c>
      <c r="E117" s="25" t="s">
        <v>439</v>
      </c>
    </row>
    <row r="118" spans="1:5" ht="12.75">
      <c r="A118" s="24" t="s">
        <v>347</v>
      </c>
      <c r="B118" s="1" t="s">
        <v>184</v>
      </c>
      <c r="C118" s="1" t="s">
        <v>33</v>
      </c>
      <c r="D118" s="1" t="s">
        <v>82</v>
      </c>
      <c r="E118" s="25" t="s">
        <v>440</v>
      </c>
    </row>
    <row r="120" spans="1:2" ht="14.25">
      <c r="A120" s="21" t="s">
        <v>29</v>
      </c>
      <c r="B120" s="22"/>
    </row>
    <row r="121" spans="1:5" ht="13.5">
      <c r="A121" s="23" t="s">
        <v>1</v>
      </c>
      <c r="B121" s="23" t="s">
        <v>30</v>
      </c>
      <c r="C121" s="23" t="s">
        <v>31</v>
      </c>
      <c r="D121" s="23" t="s">
        <v>8</v>
      </c>
      <c r="E121" s="23" t="s">
        <v>32</v>
      </c>
    </row>
    <row r="122" spans="1:5" ht="12.75">
      <c r="A122" s="24" t="s">
        <v>351</v>
      </c>
      <c r="B122" s="1" t="s">
        <v>29</v>
      </c>
      <c r="C122" s="1" t="s">
        <v>33</v>
      </c>
      <c r="D122" s="1" t="s">
        <v>354</v>
      </c>
      <c r="E122" s="25" t="s">
        <v>441</v>
      </c>
    </row>
    <row r="123" spans="1:5" ht="12.75">
      <c r="A123" s="24" t="s">
        <v>383</v>
      </c>
      <c r="B123" s="1" t="s">
        <v>29</v>
      </c>
      <c r="C123" s="1" t="s">
        <v>196</v>
      </c>
      <c r="D123" s="1" t="s">
        <v>386</v>
      </c>
      <c r="E123" s="25" t="s">
        <v>442</v>
      </c>
    </row>
    <row r="124" spans="1:5" ht="12.75">
      <c r="A124" s="24" t="s">
        <v>387</v>
      </c>
      <c r="B124" s="1" t="s">
        <v>29</v>
      </c>
      <c r="C124" s="1" t="s">
        <v>196</v>
      </c>
      <c r="D124" s="1" t="s">
        <v>386</v>
      </c>
      <c r="E124" s="25" t="s">
        <v>443</v>
      </c>
    </row>
    <row r="125" spans="1:5" ht="12.75">
      <c r="A125" s="24" t="s">
        <v>356</v>
      </c>
      <c r="B125" s="1" t="s">
        <v>29</v>
      </c>
      <c r="C125" s="1" t="s">
        <v>33</v>
      </c>
      <c r="D125" s="1" t="s">
        <v>359</v>
      </c>
      <c r="E125" s="25" t="s">
        <v>444</v>
      </c>
    </row>
    <row r="126" spans="1:5" ht="12.75">
      <c r="A126" s="24" t="s">
        <v>321</v>
      </c>
      <c r="B126" s="1" t="s">
        <v>29</v>
      </c>
      <c r="C126" s="1" t="s">
        <v>199</v>
      </c>
      <c r="D126" s="1" t="s">
        <v>325</v>
      </c>
      <c r="E126" s="25" t="s">
        <v>445</v>
      </c>
    </row>
    <row r="127" spans="1:5" ht="12.75">
      <c r="A127" s="24" t="s">
        <v>397</v>
      </c>
      <c r="B127" s="1" t="s">
        <v>29</v>
      </c>
      <c r="C127" s="1" t="s">
        <v>190</v>
      </c>
      <c r="D127" s="1" t="s">
        <v>379</v>
      </c>
      <c r="E127" s="25" t="s">
        <v>446</v>
      </c>
    </row>
    <row r="128" spans="1:5" ht="12.75">
      <c r="A128" s="24" t="s">
        <v>360</v>
      </c>
      <c r="B128" s="1" t="s">
        <v>29</v>
      </c>
      <c r="C128" s="1" t="s">
        <v>33</v>
      </c>
      <c r="D128" s="1" t="s">
        <v>324</v>
      </c>
      <c r="E128" s="25" t="s">
        <v>447</v>
      </c>
    </row>
    <row r="129" spans="1:5" ht="12.75">
      <c r="A129" s="24" t="s">
        <v>326</v>
      </c>
      <c r="B129" s="1" t="s">
        <v>29</v>
      </c>
      <c r="C129" s="1" t="s">
        <v>199</v>
      </c>
      <c r="D129" s="1" t="s">
        <v>328</v>
      </c>
      <c r="E129" s="25" t="s">
        <v>448</v>
      </c>
    </row>
    <row r="130" spans="1:5" ht="12.75">
      <c r="A130" s="24" t="s">
        <v>329</v>
      </c>
      <c r="B130" s="1" t="s">
        <v>29</v>
      </c>
      <c r="C130" s="1" t="s">
        <v>199</v>
      </c>
      <c r="D130" s="1" t="s">
        <v>328</v>
      </c>
      <c r="E130" s="25" t="s">
        <v>449</v>
      </c>
    </row>
    <row r="131" spans="1:5" ht="12.75">
      <c r="A131" s="24" t="s">
        <v>333</v>
      </c>
      <c r="B131" s="1" t="s">
        <v>29</v>
      </c>
      <c r="C131" s="1" t="s">
        <v>199</v>
      </c>
      <c r="D131" s="1" t="s">
        <v>328</v>
      </c>
      <c r="E131" s="25" t="s">
        <v>450</v>
      </c>
    </row>
    <row r="132" spans="1:5" ht="12.75">
      <c r="A132" s="24" t="s">
        <v>391</v>
      </c>
      <c r="B132" s="1" t="s">
        <v>29</v>
      </c>
      <c r="C132" s="1" t="s">
        <v>196</v>
      </c>
      <c r="D132" s="1" t="s">
        <v>394</v>
      </c>
      <c r="E132" s="25" t="s">
        <v>451</v>
      </c>
    </row>
    <row r="133" spans="1:5" ht="12.75">
      <c r="A133" s="24" t="s">
        <v>404</v>
      </c>
      <c r="B133" s="1" t="s">
        <v>29</v>
      </c>
      <c r="C133" s="1" t="s">
        <v>193</v>
      </c>
      <c r="D133" s="1" t="s">
        <v>325</v>
      </c>
      <c r="E133" s="25" t="s">
        <v>452</v>
      </c>
    </row>
    <row r="134" spans="1:5" ht="12.75">
      <c r="A134" s="24" t="s">
        <v>407</v>
      </c>
      <c r="B134" s="1" t="s">
        <v>29</v>
      </c>
      <c r="C134" s="1" t="s">
        <v>193</v>
      </c>
      <c r="D134" s="1" t="s">
        <v>319</v>
      </c>
      <c r="E134" s="25" t="s">
        <v>453</v>
      </c>
    </row>
    <row r="135" spans="1:5" ht="12.75">
      <c r="A135" s="24" t="s">
        <v>364</v>
      </c>
      <c r="B135" s="1" t="s">
        <v>29</v>
      </c>
      <c r="C135" s="1" t="s">
        <v>33</v>
      </c>
      <c r="D135" s="1" t="s">
        <v>82</v>
      </c>
      <c r="E135" s="25" t="s">
        <v>454</v>
      </c>
    </row>
    <row r="136" spans="1:5" ht="12.75">
      <c r="A136" s="24" t="s">
        <v>362</v>
      </c>
      <c r="B136" s="1" t="s">
        <v>29</v>
      </c>
      <c r="C136" s="1" t="s">
        <v>33</v>
      </c>
      <c r="D136" s="1" t="s">
        <v>146</v>
      </c>
      <c r="E136" s="25" t="s">
        <v>455</v>
      </c>
    </row>
    <row r="138" spans="1:2" ht="14.25">
      <c r="A138" s="21" t="s">
        <v>201</v>
      </c>
      <c r="B138" s="22"/>
    </row>
    <row r="139" spans="1:5" ht="13.5">
      <c r="A139" s="23" t="s">
        <v>1</v>
      </c>
      <c r="B139" s="23" t="s">
        <v>30</v>
      </c>
      <c r="C139" s="23" t="s">
        <v>31</v>
      </c>
      <c r="D139" s="23" t="s">
        <v>8</v>
      </c>
      <c r="E139" s="23" t="s">
        <v>32</v>
      </c>
    </row>
    <row r="140" spans="1:5" ht="12.75">
      <c r="A140" s="24" t="s">
        <v>244</v>
      </c>
      <c r="B140" s="1" t="s">
        <v>252</v>
      </c>
      <c r="C140" s="1" t="s">
        <v>33</v>
      </c>
      <c r="D140" s="1" t="s">
        <v>146</v>
      </c>
      <c r="E140" s="25" t="s">
        <v>456</v>
      </c>
    </row>
    <row r="141" spans="1:5" ht="12.75">
      <c r="A141" s="24" t="s">
        <v>414</v>
      </c>
      <c r="B141" s="1" t="s">
        <v>202</v>
      </c>
      <c r="C141" s="1" t="s">
        <v>193</v>
      </c>
      <c r="D141" s="1" t="s">
        <v>359</v>
      </c>
      <c r="E141" s="25" t="s">
        <v>457</v>
      </c>
    </row>
    <row r="142" spans="1:5" ht="12.75">
      <c r="A142" s="24" t="s">
        <v>375</v>
      </c>
      <c r="B142" s="1" t="s">
        <v>240</v>
      </c>
      <c r="C142" s="1" t="s">
        <v>33</v>
      </c>
      <c r="D142" s="1" t="s">
        <v>359</v>
      </c>
      <c r="E142" s="25" t="s">
        <v>458</v>
      </c>
    </row>
    <row r="143" spans="1:5" ht="12.75">
      <c r="A143" s="24" t="s">
        <v>356</v>
      </c>
      <c r="B143" s="1" t="s">
        <v>212</v>
      </c>
      <c r="C143" s="1" t="s">
        <v>33</v>
      </c>
      <c r="D143" s="1" t="s">
        <v>359</v>
      </c>
      <c r="E143" s="25" t="s">
        <v>459</v>
      </c>
    </row>
    <row r="144" spans="1:5" ht="12.75">
      <c r="A144" s="24" t="s">
        <v>154</v>
      </c>
      <c r="B144" s="1" t="s">
        <v>202</v>
      </c>
      <c r="C144" s="1" t="s">
        <v>196</v>
      </c>
      <c r="D144" s="1" t="s">
        <v>328</v>
      </c>
      <c r="E144" s="25" t="s">
        <v>460</v>
      </c>
    </row>
    <row r="145" spans="1:5" ht="12.75">
      <c r="A145" s="24" t="s">
        <v>410</v>
      </c>
      <c r="B145" s="1" t="s">
        <v>240</v>
      </c>
      <c r="C145" s="1" t="s">
        <v>193</v>
      </c>
      <c r="D145" s="1" t="s">
        <v>379</v>
      </c>
      <c r="E145" s="25" t="s">
        <v>461</v>
      </c>
    </row>
    <row r="146" spans="1:5" ht="12.75">
      <c r="A146" s="24" t="s">
        <v>400</v>
      </c>
      <c r="B146" s="1" t="s">
        <v>240</v>
      </c>
      <c r="C146" s="1" t="s">
        <v>190</v>
      </c>
      <c r="D146" s="1" t="s">
        <v>394</v>
      </c>
      <c r="E146" s="25" t="s">
        <v>462</v>
      </c>
    </row>
    <row r="147" spans="1:5" ht="12.75">
      <c r="A147" s="24" t="s">
        <v>418</v>
      </c>
      <c r="B147" s="1" t="s">
        <v>212</v>
      </c>
      <c r="C147" s="1" t="s">
        <v>463</v>
      </c>
      <c r="D147" s="1" t="s">
        <v>319</v>
      </c>
      <c r="E147" s="25" t="s">
        <v>464</v>
      </c>
    </row>
    <row r="148" spans="1:5" ht="12.75">
      <c r="A148" s="24" t="s">
        <v>301</v>
      </c>
      <c r="B148" s="1" t="s">
        <v>212</v>
      </c>
      <c r="C148" s="1" t="s">
        <v>171</v>
      </c>
      <c r="D148" s="1" t="s">
        <v>60</v>
      </c>
      <c r="E148" s="25" t="s">
        <v>465</v>
      </c>
    </row>
  </sheetData>
  <sheetProtection selectLockedCells="1" selectUnlockedCells="1"/>
  <mergeCells count="25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2:L12"/>
    <mergeCell ref="A17:L17"/>
    <mergeCell ref="A21:L21"/>
    <mergeCell ref="A24:L24"/>
    <mergeCell ref="A27:L27"/>
    <mergeCell ref="A31:L31"/>
    <mergeCell ref="A35:L35"/>
    <mergeCell ref="A44:L44"/>
    <mergeCell ref="A58:L58"/>
    <mergeCell ref="A65:L65"/>
    <mergeCell ref="A69:L69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"/>
    </sheetView>
  </sheetViews>
  <sheetFormatPr defaultColWidth="9.00390625" defaultRowHeight="12.75"/>
  <cols>
    <col min="1" max="1" width="24.875" style="1" customWidth="1"/>
    <col min="2" max="2" width="30.50390625" style="1" customWidth="1"/>
    <col min="3" max="3" width="7.50390625" style="1" customWidth="1"/>
    <col min="4" max="4" width="6.50390625" style="1" customWidth="1"/>
    <col min="5" max="5" width="17.00390625" style="1" customWidth="1"/>
    <col min="6" max="6" width="19.375" style="1" customWidth="1"/>
    <col min="7" max="9" width="5.50390625" style="1" customWidth="1"/>
    <col min="10" max="10" width="4.50390625" style="1" customWidth="1"/>
    <col min="11" max="13" width="5.50390625" style="1" customWidth="1"/>
    <col min="14" max="14" width="4.50390625" style="1" customWidth="1"/>
    <col min="15" max="17" width="5.50390625" style="1" customWidth="1"/>
    <col min="18" max="18" width="4.50390625" style="1" customWidth="1"/>
    <col min="19" max="19" width="6.375" style="1" customWidth="1"/>
    <col min="20" max="20" width="8.50390625" style="1" customWidth="1"/>
    <col min="21" max="21" width="14.50390625" style="1" customWidth="1"/>
  </cols>
  <sheetData>
    <row r="1" spans="1:21" s="3" customFormat="1" ht="15" customHeight="1">
      <c r="A1" s="2" t="s">
        <v>466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6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467</v>
      </c>
      <c r="H3" s="8"/>
      <c r="I3" s="8"/>
      <c r="J3" s="8"/>
      <c r="K3" s="8" t="s">
        <v>243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0" ht="15">
      <c r="A5" s="15" t="s">
        <v>52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1" ht="12.75">
      <c r="A6" s="27" t="s">
        <v>468</v>
      </c>
      <c r="B6" s="27" t="s">
        <v>469</v>
      </c>
      <c r="C6" s="27" t="s">
        <v>470</v>
      </c>
      <c r="D6" s="27">
        <f aca="true" t="shared" si="0" ref="D6:D7">"0,7769"</f>
        <v>0</v>
      </c>
      <c r="E6" s="27" t="s">
        <v>81</v>
      </c>
      <c r="F6" s="27" t="s">
        <v>471</v>
      </c>
      <c r="G6" s="27" t="s">
        <v>100</v>
      </c>
      <c r="H6" s="27" t="s">
        <v>18</v>
      </c>
      <c r="I6" s="28" t="s">
        <v>249</v>
      </c>
      <c r="J6" s="28"/>
      <c r="K6" s="27" t="s">
        <v>118</v>
      </c>
      <c r="L6" s="27" t="s">
        <v>339</v>
      </c>
      <c r="M6" s="28" t="s">
        <v>472</v>
      </c>
      <c r="N6" s="28"/>
      <c r="O6" s="27" t="s">
        <v>100</v>
      </c>
      <c r="P6" s="27" t="s">
        <v>354</v>
      </c>
      <c r="Q6" s="28" t="s">
        <v>158</v>
      </c>
      <c r="R6" s="28"/>
      <c r="S6" s="27">
        <v>497.5</v>
      </c>
      <c r="T6" s="27">
        <f aca="true" t="shared" si="1" ref="T6:T7">"386,5077"</f>
        <v>0</v>
      </c>
      <c r="U6" s="27" t="s">
        <v>473</v>
      </c>
    </row>
    <row r="7" spans="1:21" ht="12.75">
      <c r="A7" s="29" t="s">
        <v>468</v>
      </c>
      <c r="B7" s="29" t="s">
        <v>474</v>
      </c>
      <c r="C7" s="29" t="s">
        <v>470</v>
      </c>
      <c r="D7" s="29">
        <f t="shared" si="0"/>
        <v>0</v>
      </c>
      <c r="E7" s="29" t="s">
        <v>81</v>
      </c>
      <c r="F7" s="29" t="s">
        <v>471</v>
      </c>
      <c r="G7" s="29" t="s">
        <v>100</v>
      </c>
      <c r="H7" s="29" t="s">
        <v>18</v>
      </c>
      <c r="I7" s="30" t="s">
        <v>249</v>
      </c>
      <c r="J7" s="30"/>
      <c r="K7" s="29" t="s">
        <v>118</v>
      </c>
      <c r="L7" s="29" t="s">
        <v>339</v>
      </c>
      <c r="M7" s="30" t="s">
        <v>472</v>
      </c>
      <c r="N7" s="30"/>
      <c r="O7" s="29" t="s">
        <v>100</v>
      </c>
      <c r="P7" s="29" t="s">
        <v>354</v>
      </c>
      <c r="Q7" s="30" t="s">
        <v>158</v>
      </c>
      <c r="R7" s="30"/>
      <c r="S7" s="29">
        <v>497.5</v>
      </c>
      <c r="T7" s="29">
        <f t="shared" si="1"/>
        <v>0</v>
      </c>
      <c r="U7" s="29" t="s">
        <v>473</v>
      </c>
    </row>
    <row r="9" ht="15">
      <c r="E9" s="18" t="s">
        <v>21</v>
      </c>
    </row>
    <row r="10" ht="15">
      <c r="E10" s="18" t="s">
        <v>22</v>
      </c>
    </row>
    <row r="11" ht="15">
      <c r="E11" s="18" t="s">
        <v>23</v>
      </c>
    </row>
    <row r="12" ht="12.75">
      <c r="E12" s="1" t="s">
        <v>24</v>
      </c>
    </row>
    <row r="13" ht="12.75">
      <c r="E13" s="1" t="s">
        <v>25</v>
      </c>
    </row>
    <row r="14" ht="12.75">
      <c r="E14" s="1" t="s">
        <v>26</v>
      </c>
    </row>
    <row r="17" spans="1:2" ht="17.25">
      <c r="A17" s="19" t="s">
        <v>27</v>
      </c>
      <c r="B17" s="19"/>
    </row>
    <row r="18" spans="1:2" ht="15">
      <c r="A18" s="20" t="s">
        <v>169</v>
      </c>
      <c r="B18" s="20"/>
    </row>
    <row r="19" spans="1:2" ht="14.25">
      <c r="A19" s="21" t="s">
        <v>29</v>
      </c>
      <c r="B19" s="22"/>
    </row>
    <row r="20" spans="1:5" ht="13.5">
      <c r="A20" s="23" t="s">
        <v>1</v>
      </c>
      <c r="B20" s="23" t="s">
        <v>30</v>
      </c>
      <c r="C20" s="23" t="s">
        <v>31</v>
      </c>
      <c r="D20" s="23" t="s">
        <v>8</v>
      </c>
      <c r="E20" s="23" t="s">
        <v>32</v>
      </c>
    </row>
    <row r="21" spans="1:5" ht="12.75">
      <c r="A21" s="24" t="s">
        <v>468</v>
      </c>
      <c r="B21" s="1" t="s">
        <v>29</v>
      </c>
      <c r="C21" s="1" t="s">
        <v>171</v>
      </c>
      <c r="D21" s="1" t="s">
        <v>475</v>
      </c>
      <c r="E21" s="25" t="s">
        <v>476</v>
      </c>
    </row>
  </sheetData>
  <sheetProtection selectLockedCells="1" selectUnlockedCells="1"/>
  <mergeCells count="14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F15" sqref="F15"/>
    </sheetView>
  </sheetViews>
  <sheetFormatPr defaultColWidth="9.00390625" defaultRowHeight="12.75"/>
  <cols>
    <col min="1" max="1" width="24.875" style="1" customWidth="1"/>
    <col min="2" max="2" width="26.25390625" style="1" customWidth="1"/>
    <col min="3" max="3" width="7.50390625" style="1" customWidth="1"/>
    <col min="4" max="4" width="6.50390625" style="1" customWidth="1"/>
    <col min="5" max="5" width="21.375" style="1" customWidth="1"/>
    <col min="6" max="6" width="30.125" style="1" customWidth="1"/>
    <col min="7" max="9" width="5.50390625" style="1" customWidth="1"/>
    <col min="10" max="10" width="4.50390625" style="1" customWidth="1"/>
    <col min="11" max="13" width="5.50390625" style="1" customWidth="1"/>
    <col min="14" max="14" width="4.50390625" style="1" customWidth="1"/>
    <col min="15" max="17" width="5.50390625" style="1" customWidth="1"/>
    <col min="18" max="18" width="4.50390625" style="1" customWidth="1"/>
    <col min="19" max="19" width="6.375" style="1" customWidth="1"/>
    <col min="20" max="20" width="8.50390625" style="1" customWidth="1"/>
    <col min="21" max="21" width="7.125" style="1" customWidth="1"/>
  </cols>
  <sheetData>
    <row r="1" spans="1:21" s="3" customFormat="1" ht="15" customHeight="1">
      <c r="A1" s="2" t="s">
        <v>477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5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ht="12.75" customHeight="1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 t="s">
        <v>467</v>
      </c>
      <c r="H3" s="8"/>
      <c r="I3" s="8"/>
      <c r="J3" s="8"/>
      <c r="K3" s="8" t="s">
        <v>243</v>
      </c>
      <c r="L3" s="8"/>
      <c r="M3" s="8"/>
      <c r="N3" s="8"/>
      <c r="O3" s="8" t="s">
        <v>7</v>
      </c>
      <c r="P3" s="8"/>
      <c r="Q3" s="8"/>
      <c r="R3" s="8"/>
      <c r="S3" s="9" t="s">
        <v>8</v>
      </c>
      <c r="T3" s="6" t="s">
        <v>9</v>
      </c>
      <c r="U3" s="10" t="s">
        <v>10</v>
      </c>
    </row>
    <row r="4" spans="1:21" s="11" customFormat="1" ht="23.25" customHeight="1">
      <c r="A4" s="4"/>
      <c r="B4" s="5"/>
      <c r="C4" s="5"/>
      <c r="D4" s="5"/>
      <c r="E4" s="5"/>
      <c r="F4" s="7"/>
      <c r="G4" s="12">
        <v>1</v>
      </c>
      <c r="H4" s="13">
        <v>2</v>
      </c>
      <c r="I4" s="13">
        <v>3</v>
      </c>
      <c r="J4" s="14" t="s">
        <v>11</v>
      </c>
      <c r="K4" s="12">
        <v>1</v>
      </c>
      <c r="L4" s="13">
        <v>2</v>
      </c>
      <c r="M4" s="13">
        <v>3</v>
      </c>
      <c r="N4" s="14" t="s">
        <v>11</v>
      </c>
      <c r="O4" s="12">
        <v>1</v>
      </c>
      <c r="P4" s="13">
        <v>2</v>
      </c>
      <c r="Q4" s="13">
        <v>3</v>
      </c>
      <c r="R4" s="14" t="s">
        <v>11</v>
      </c>
      <c r="S4" s="9"/>
      <c r="T4" s="6"/>
      <c r="U4" s="10"/>
    </row>
    <row r="5" spans="1:20" ht="15">
      <c r="A5" s="15" t="s">
        <v>47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1" ht="12.75">
      <c r="A6" s="16" t="s">
        <v>478</v>
      </c>
      <c r="B6" s="16" t="s">
        <v>479</v>
      </c>
      <c r="C6" s="16" t="s">
        <v>480</v>
      </c>
      <c r="D6" s="16">
        <f>"0,9333"</f>
        <v>0</v>
      </c>
      <c r="E6" s="16" t="s">
        <v>56</v>
      </c>
      <c r="F6" s="16" t="s">
        <v>57</v>
      </c>
      <c r="G6" s="16" t="s">
        <v>296</v>
      </c>
      <c r="H6" s="16" t="s">
        <v>76</v>
      </c>
      <c r="I6" s="17" t="s">
        <v>77</v>
      </c>
      <c r="J6" s="17"/>
      <c r="K6" s="16" t="s">
        <v>279</v>
      </c>
      <c r="L6" s="16" t="s">
        <v>291</v>
      </c>
      <c r="M6" s="16" t="s">
        <v>292</v>
      </c>
      <c r="N6" s="17"/>
      <c r="O6" s="16" t="s">
        <v>51</v>
      </c>
      <c r="P6" s="16" t="s">
        <v>314</v>
      </c>
      <c r="Q6" s="16" t="s">
        <v>309</v>
      </c>
      <c r="R6" s="17"/>
      <c r="S6" s="16">
        <v>257.5</v>
      </c>
      <c r="T6" s="16">
        <f>"240,3248"</f>
        <v>0</v>
      </c>
      <c r="U6" s="16"/>
    </row>
    <row r="8" spans="1:20" ht="15">
      <c r="A8" s="26" t="s">
        <v>86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1" ht="12.75">
      <c r="A9" s="16" t="s">
        <v>91</v>
      </c>
      <c r="B9" s="16" t="s">
        <v>92</v>
      </c>
      <c r="C9" s="16" t="s">
        <v>93</v>
      </c>
      <c r="D9" s="16">
        <f>"0,8646"</f>
        <v>0</v>
      </c>
      <c r="E9" s="16" t="s">
        <v>16</v>
      </c>
      <c r="F9" s="16" t="s">
        <v>17</v>
      </c>
      <c r="G9" s="17" t="s">
        <v>260</v>
      </c>
      <c r="H9" s="16" t="s">
        <v>261</v>
      </c>
      <c r="I9" s="16" t="s">
        <v>296</v>
      </c>
      <c r="J9" s="17"/>
      <c r="K9" s="16" t="s">
        <v>292</v>
      </c>
      <c r="L9" s="16" t="s">
        <v>260</v>
      </c>
      <c r="M9" s="17" t="s">
        <v>261</v>
      </c>
      <c r="N9" s="17"/>
      <c r="O9" s="16" t="s">
        <v>46</v>
      </c>
      <c r="P9" s="16" t="s">
        <v>339</v>
      </c>
      <c r="Q9" s="17" t="s">
        <v>305</v>
      </c>
      <c r="R9" s="17"/>
      <c r="S9" s="16">
        <v>260</v>
      </c>
      <c r="T9" s="16">
        <f>"224,7960"</f>
        <v>0</v>
      </c>
      <c r="U9" s="16"/>
    </row>
    <row r="11" spans="1:20" ht="15">
      <c r="A11" s="26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1" ht="12.75">
      <c r="A12" s="16" t="s">
        <v>481</v>
      </c>
      <c r="B12" s="16" t="s">
        <v>482</v>
      </c>
      <c r="C12" s="16" t="s">
        <v>483</v>
      </c>
      <c r="D12" s="16">
        <f>"0,6694"</f>
        <v>0</v>
      </c>
      <c r="E12" s="16" t="s">
        <v>56</v>
      </c>
      <c r="F12" s="16" t="s">
        <v>484</v>
      </c>
      <c r="G12" s="16" t="s">
        <v>472</v>
      </c>
      <c r="H12" s="17"/>
      <c r="I12" s="17"/>
      <c r="J12" s="17"/>
      <c r="K12" s="16" t="s">
        <v>51</v>
      </c>
      <c r="L12" s="16" t="s">
        <v>118</v>
      </c>
      <c r="M12" s="17"/>
      <c r="N12" s="17"/>
      <c r="O12" s="16" t="s">
        <v>147</v>
      </c>
      <c r="P12" s="16" t="s">
        <v>319</v>
      </c>
      <c r="Q12" s="17" t="s">
        <v>379</v>
      </c>
      <c r="R12" s="17"/>
      <c r="S12" s="16">
        <v>390</v>
      </c>
      <c r="T12" s="16">
        <f>"261,0660"</f>
        <v>0</v>
      </c>
      <c r="U12" s="16"/>
    </row>
    <row r="14" spans="1:20" ht="15">
      <c r="A14" s="26" t="s">
        <v>114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1" ht="12.75">
      <c r="A15" s="16" t="s">
        <v>115</v>
      </c>
      <c r="B15" s="16" t="s">
        <v>116</v>
      </c>
      <c r="C15" s="16" t="s">
        <v>117</v>
      </c>
      <c r="D15" s="16">
        <f>"0,6273"</f>
        <v>0</v>
      </c>
      <c r="E15" s="16" t="s">
        <v>16</v>
      </c>
      <c r="F15" s="16" t="s">
        <v>17</v>
      </c>
      <c r="G15" s="16" t="s">
        <v>46</v>
      </c>
      <c r="H15" s="16" t="s">
        <v>339</v>
      </c>
      <c r="I15" s="17" t="s">
        <v>305</v>
      </c>
      <c r="J15" s="17"/>
      <c r="K15" s="17" t="s">
        <v>272</v>
      </c>
      <c r="L15" s="16" t="s">
        <v>272</v>
      </c>
      <c r="M15" s="16" t="s">
        <v>261</v>
      </c>
      <c r="N15" s="17"/>
      <c r="O15" s="16" t="s">
        <v>46</v>
      </c>
      <c r="P15" s="16" t="s">
        <v>472</v>
      </c>
      <c r="Q15" s="16" t="s">
        <v>147</v>
      </c>
      <c r="R15" s="17"/>
      <c r="S15" s="16">
        <v>325</v>
      </c>
      <c r="T15" s="16">
        <f>"203,8725"</f>
        <v>0</v>
      </c>
      <c r="U15" s="16"/>
    </row>
    <row r="17" spans="1:20" ht="15">
      <c r="A17" s="26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1" ht="12.75">
      <c r="A18" s="27" t="s">
        <v>485</v>
      </c>
      <c r="B18" s="27" t="s">
        <v>486</v>
      </c>
      <c r="C18" s="27" t="s">
        <v>487</v>
      </c>
      <c r="D18" s="27">
        <f>"0,5910"</f>
        <v>0</v>
      </c>
      <c r="E18" s="27" t="s">
        <v>43</v>
      </c>
      <c r="F18" s="27" t="s">
        <v>488</v>
      </c>
      <c r="G18" s="28" t="s">
        <v>133</v>
      </c>
      <c r="H18" s="27" t="s">
        <v>133</v>
      </c>
      <c r="I18" s="28" t="s">
        <v>168</v>
      </c>
      <c r="J18" s="28"/>
      <c r="K18" s="27" t="s">
        <v>472</v>
      </c>
      <c r="L18" s="27" t="s">
        <v>489</v>
      </c>
      <c r="M18" s="28" t="s">
        <v>82</v>
      </c>
      <c r="N18" s="28"/>
      <c r="O18" s="28" t="s">
        <v>131</v>
      </c>
      <c r="P18" s="27" t="s">
        <v>490</v>
      </c>
      <c r="Q18" s="28" t="s">
        <v>125</v>
      </c>
      <c r="R18" s="28"/>
      <c r="S18" s="27">
        <v>577.5</v>
      </c>
      <c r="T18" s="27">
        <f>"341,3025"</f>
        <v>0</v>
      </c>
      <c r="U18" s="27"/>
    </row>
    <row r="19" spans="1:21" ht="12.75">
      <c r="A19" s="29" t="s">
        <v>491</v>
      </c>
      <c r="B19" s="29" t="s">
        <v>492</v>
      </c>
      <c r="C19" s="29" t="s">
        <v>493</v>
      </c>
      <c r="D19" s="29">
        <f>"0,5922"</f>
        <v>0</v>
      </c>
      <c r="E19" s="29" t="s">
        <v>56</v>
      </c>
      <c r="F19" s="29" t="s">
        <v>57</v>
      </c>
      <c r="G19" s="29" t="s">
        <v>133</v>
      </c>
      <c r="H19" s="29" t="s">
        <v>139</v>
      </c>
      <c r="I19" s="30" t="s">
        <v>19</v>
      </c>
      <c r="J19" s="30"/>
      <c r="K19" s="29" t="s">
        <v>146</v>
      </c>
      <c r="L19" s="29" t="s">
        <v>83</v>
      </c>
      <c r="M19" s="29" t="s">
        <v>84</v>
      </c>
      <c r="N19" s="30"/>
      <c r="O19" s="29" t="s">
        <v>139</v>
      </c>
      <c r="P19" s="30" t="s">
        <v>36</v>
      </c>
      <c r="Q19" s="30" t="s">
        <v>36</v>
      </c>
      <c r="R19" s="30"/>
      <c r="S19" s="29">
        <v>570</v>
      </c>
      <c r="T19" s="29">
        <f>"337,5540"</f>
        <v>0</v>
      </c>
      <c r="U19" s="29"/>
    </row>
    <row r="21" spans="1:20" ht="15">
      <c r="A21" s="26" t="s">
        <v>148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1" ht="12.75">
      <c r="A22" s="27" t="s">
        <v>494</v>
      </c>
      <c r="B22" s="27" t="s">
        <v>495</v>
      </c>
      <c r="C22" s="27" t="s">
        <v>496</v>
      </c>
      <c r="D22" s="27">
        <f>"0,5624"</f>
        <v>0</v>
      </c>
      <c r="E22" s="27" t="s">
        <v>81</v>
      </c>
      <c r="F22" s="27" t="s">
        <v>497</v>
      </c>
      <c r="G22" s="27" t="s">
        <v>225</v>
      </c>
      <c r="H22" s="27" t="s">
        <v>498</v>
      </c>
      <c r="I22" s="28" t="s">
        <v>499</v>
      </c>
      <c r="J22" s="28"/>
      <c r="K22" s="27" t="s">
        <v>379</v>
      </c>
      <c r="L22" s="27" t="s">
        <v>100</v>
      </c>
      <c r="M22" s="28" t="s">
        <v>18</v>
      </c>
      <c r="N22" s="28"/>
      <c r="O22" s="27" t="s">
        <v>490</v>
      </c>
      <c r="P22" s="27" t="s">
        <v>231</v>
      </c>
      <c r="Q22" s="27" t="s">
        <v>500</v>
      </c>
      <c r="R22" s="28"/>
      <c r="S22" s="27">
        <v>732.5</v>
      </c>
      <c r="T22" s="27">
        <f>"411,9580"</f>
        <v>0</v>
      </c>
      <c r="U22" s="27"/>
    </row>
    <row r="23" spans="1:21" ht="12.75">
      <c r="A23" s="29" t="s">
        <v>501</v>
      </c>
      <c r="B23" s="29" t="s">
        <v>502</v>
      </c>
      <c r="C23" s="29" t="s">
        <v>503</v>
      </c>
      <c r="D23" s="29">
        <f>"0,5570"</f>
        <v>0</v>
      </c>
      <c r="E23" s="29" t="s">
        <v>43</v>
      </c>
      <c r="F23" s="29" t="s">
        <v>488</v>
      </c>
      <c r="G23" s="29" t="s">
        <v>18</v>
      </c>
      <c r="H23" s="29" t="s">
        <v>158</v>
      </c>
      <c r="I23" s="30" t="s">
        <v>168</v>
      </c>
      <c r="J23" s="30"/>
      <c r="K23" s="29" t="s">
        <v>83</v>
      </c>
      <c r="L23" s="29" t="s">
        <v>84</v>
      </c>
      <c r="M23" s="30" t="s">
        <v>324</v>
      </c>
      <c r="N23" s="30"/>
      <c r="O23" s="29" t="s">
        <v>131</v>
      </c>
      <c r="P23" s="30"/>
      <c r="Q23" s="30"/>
      <c r="R23" s="30"/>
      <c r="S23" s="29">
        <v>595</v>
      </c>
      <c r="T23" s="29">
        <f>"331,4150"</f>
        <v>0</v>
      </c>
      <c r="U23" s="29"/>
    </row>
    <row r="25" spans="1:20" ht="15">
      <c r="A25" s="26" t="s">
        <v>160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1" ht="12.75">
      <c r="A26" s="16" t="s">
        <v>504</v>
      </c>
      <c r="B26" s="16" t="s">
        <v>505</v>
      </c>
      <c r="C26" s="16" t="s">
        <v>229</v>
      </c>
      <c r="D26" s="16">
        <f>"0,5365"</f>
        <v>0</v>
      </c>
      <c r="E26" s="16" t="s">
        <v>56</v>
      </c>
      <c r="F26" s="16" t="s">
        <v>57</v>
      </c>
      <c r="G26" s="16" t="s">
        <v>168</v>
      </c>
      <c r="H26" s="16" t="s">
        <v>135</v>
      </c>
      <c r="I26" s="17" t="s">
        <v>131</v>
      </c>
      <c r="J26" s="17"/>
      <c r="K26" s="16" t="s">
        <v>100</v>
      </c>
      <c r="L26" s="16" t="s">
        <v>18</v>
      </c>
      <c r="M26" s="17" t="s">
        <v>355</v>
      </c>
      <c r="N26" s="17"/>
      <c r="O26" s="16" t="s">
        <v>131</v>
      </c>
      <c r="P26" s="16" t="s">
        <v>125</v>
      </c>
      <c r="Q26" s="16" t="s">
        <v>225</v>
      </c>
      <c r="R26" s="17"/>
      <c r="S26" s="16">
        <v>695</v>
      </c>
      <c r="T26" s="16">
        <f>"372,8675"</f>
        <v>0</v>
      </c>
      <c r="U26" s="16"/>
    </row>
    <row r="28" spans="1:20" ht="15">
      <c r="A28" s="26" t="s">
        <v>417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1" ht="12.75">
      <c r="A29" s="16" t="s">
        <v>506</v>
      </c>
      <c r="B29" s="16" t="s">
        <v>507</v>
      </c>
      <c r="C29" s="16" t="s">
        <v>508</v>
      </c>
      <c r="D29" s="16">
        <f>"0,5146"</f>
        <v>0</v>
      </c>
      <c r="E29" s="16" t="s">
        <v>56</v>
      </c>
      <c r="F29" s="16" t="s">
        <v>105</v>
      </c>
      <c r="G29" s="16" t="s">
        <v>489</v>
      </c>
      <c r="H29" s="16" t="s">
        <v>343</v>
      </c>
      <c r="I29" s="17" t="s">
        <v>84</v>
      </c>
      <c r="J29" s="17"/>
      <c r="K29" s="16" t="s">
        <v>46</v>
      </c>
      <c r="L29" s="16" t="s">
        <v>118</v>
      </c>
      <c r="M29" s="16" t="s">
        <v>472</v>
      </c>
      <c r="N29" s="17"/>
      <c r="O29" s="16" t="s">
        <v>328</v>
      </c>
      <c r="P29" s="17" t="s">
        <v>324</v>
      </c>
      <c r="Q29" s="16" t="s">
        <v>110</v>
      </c>
      <c r="R29" s="17"/>
      <c r="S29" s="16">
        <v>422.5</v>
      </c>
      <c r="T29" s="16">
        <f>"217,4354"</f>
        <v>0</v>
      </c>
      <c r="U29" s="16"/>
    </row>
    <row r="31" ht="15">
      <c r="E31" s="18" t="s">
        <v>21</v>
      </c>
    </row>
    <row r="32" ht="15">
      <c r="E32" s="18" t="s">
        <v>22</v>
      </c>
    </row>
    <row r="33" ht="15">
      <c r="E33" s="18" t="s">
        <v>23</v>
      </c>
    </row>
    <row r="34" ht="12.75">
      <c r="E34" s="1" t="s">
        <v>24</v>
      </c>
    </row>
    <row r="35" ht="12.75">
      <c r="E35" s="1" t="s">
        <v>25</v>
      </c>
    </row>
    <row r="36" ht="12.75">
      <c r="E36" s="1" t="s">
        <v>26</v>
      </c>
    </row>
    <row r="39" spans="1:2" ht="17.25">
      <c r="A39" s="19" t="s">
        <v>27</v>
      </c>
      <c r="B39" s="19"/>
    </row>
    <row r="40" spans="1:2" ht="15">
      <c r="A40" s="20" t="s">
        <v>169</v>
      </c>
      <c r="B40" s="20"/>
    </row>
    <row r="41" spans="1:2" ht="14.25">
      <c r="A41" s="21" t="s">
        <v>29</v>
      </c>
      <c r="B41" s="22"/>
    </row>
    <row r="42" spans="1:5" ht="13.5">
      <c r="A42" s="23" t="s">
        <v>1</v>
      </c>
      <c r="B42" s="23" t="s">
        <v>30</v>
      </c>
      <c r="C42" s="23" t="s">
        <v>31</v>
      </c>
      <c r="D42" s="23" t="s">
        <v>8</v>
      </c>
      <c r="E42" s="23" t="s">
        <v>32</v>
      </c>
    </row>
    <row r="43" spans="1:5" ht="12.75">
      <c r="A43" s="24" t="s">
        <v>478</v>
      </c>
      <c r="B43" s="1" t="s">
        <v>29</v>
      </c>
      <c r="C43" s="1" t="s">
        <v>422</v>
      </c>
      <c r="D43" s="1" t="s">
        <v>126</v>
      </c>
      <c r="E43" s="25" t="s">
        <v>509</v>
      </c>
    </row>
    <row r="46" spans="1:2" ht="15">
      <c r="A46" s="20" t="s">
        <v>28</v>
      </c>
      <c r="B46" s="20"/>
    </row>
    <row r="47" spans="1:2" ht="14.25">
      <c r="A47" s="21" t="s">
        <v>179</v>
      </c>
      <c r="B47" s="22"/>
    </row>
    <row r="48" spans="1:5" ht="13.5">
      <c r="A48" s="23" t="s">
        <v>1</v>
      </c>
      <c r="B48" s="23" t="s">
        <v>30</v>
      </c>
      <c r="C48" s="23" t="s">
        <v>31</v>
      </c>
      <c r="D48" s="23" t="s">
        <v>8</v>
      </c>
      <c r="E48" s="23" t="s">
        <v>32</v>
      </c>
    </row>
    <row r="49" spans="1:5" ht="12.75">
      <c r="A49" s="24" t="s">
        <v>485</v>
      </c>
      <c r="B49" s="1" t="s">
        <v>510</v>
      </c>
      <c r="C49" s="1" t="s">
        <v>33</v>
      </c>
      <c r="D49" s="1" t="s">
        <v>511</v>
      </c>
      <c r="E49" s="25" t="s">
        <v>512</v>
      </c>
    </row>
    <row r="50" spans="1:5" ht="12.75">
      <c r="A50" s="24" t="s">
        <v>506</v>
      </c>
      <c r="B50" s="1" t="s">
        <v>510</v>
      </c>
      <c r="C50" s="1" t="s">
        <v>463</v>
      </c>
      <c r="D50" s="1" t="s">
        <v>513</v>
      </c>
      <c r="E50" s="25" t="s">
        <v>514</v>
      </c>
    </row>
    <row r="52" spans="1:2" ht="14.25">
      <c r="A52" s="21" t="s">
        <v>183</v>
      </c>
      <c r="B52" s="22"/>
    </row>
    <row r="53" spans="1:5" ht="13.5">
      <c r="A53" s="23" t="s">
        <v>1</v>
      </c>
      <c r="B53" s="23" t="s">
        <v>30</v>
      </c>
      <c r="C53" s="23" t="s">
        <v>31</v>
      </c>
      <c r="D53" s="23" t="s">
        <v>8</v>
      </c>
      <c r="E53" s="23" t="s">
        <v>32</v>
      </c>
    </row>
    <row r="54" spans="1:5" ht="12.75">
      <c r="A54" s="24" t="s">
        <v>481</v>
      </c>
      <c r="B54" s="1" t="s">
        <v>184</v>
      </c>
      <c r="C54" s="1" t="s">
        <v>175</v>
      </c>
      <c r="D54" s="1" t="s">
        <v>515</v>
      </c>
      <c r="E54" s="25" t="s">
        <v>516</v>
      </c>
    </row>
    <row r="56" spans="1:2" ht="14.25">
      <c r="A56" s="21" t="s">
        <v>29</v>
      </c>
      <c r="B56" s="22"/>
    </row>
    <row r="57" spans="1:5" ht="13.5">
      <c r="A57" s="23" t="s">
        <v>1</v>
      </c>
      <c r="B57" s="23" t="s">
        <v>30</v>
      </c>
      <c r="C57" s="23" t="s">
        <v>31</v>
      </c>
      <c r="D57" s="23" t="s">
        <v>8</v>
      </c>
      <c r="E57" s="23" t="s">
        <v>32</v>
      </c>
    </row>
    <row r="58" spans="1:5" ht="12.75">
      <c r="A58" s="24" t="s">
        <v>494</v>
      </c>
      <c r="B58" s="1" t="s">
        <v>29</v>
      </c>
      <c r="C58" s="1" t="s">
        <v>196</v>
      </c>
      <c r="D58" s="1" t="s">
        <v>517</v>
      </c>
      <c r="E58" s="25" t="s">
        <v>518</v>
      </c>
    </row>
    <row r="59" spans="1:5" ht="12.75">
      <c r="A59" s="24" t="s">
        <v>504</v>
      </c>
      <c r="B59" s="1" t="s">
        <v>29</v>
      </c>
      <c r="C59" s="1" t="s">
        <v>190</v>
      </c>
      <c r="D59" s="1" t="s">
        <v>519</v>
      </c>
      <c r="E59" s="25" t="s">
        <v>520</v>
      </c>
    </row>
    <row r="60" spans="1:5" ht="12.75">
      <c r="A60" s="24" t="s">
        <v>491</v>
      </c>
      <c r="B60" s="1" t="s">
        <v>29</v>
      </c>
      <c r="C60" s="1" t="s">
        <v>33</v>
      </c>
      <c r="D60" s="1" t="s">
        <v>521</v>
      </c>
      <c r="E60" s="25" t="s">
        <v>522</v>
      </c>
    </row>
    <row r="61" spans="1:5" ht="12.75">
      <c r="A61" s="24" t="s">
        <v>501</v>
      </c>
      <c r="B61" s="1" t="s">
        <v>29</v>
      </c>
      <c r="C61" s="1" t="s">
        <v>196</v>
      </c>
      <c r="D61" s="1" t="s">
        <v>523</v>
      </c>
      <c r="E61" s="25" t="s">
        <v>524</v>
      </c>
    </row>
    <row r="62" spans="1:5" ht="12.75">
      <c r="A62" s="24" t="s">
        <v>91</v>
      </c>
      <c r="B62" s="1" t="s">
        <v>29</v>
      </c>
      <c r="C62" s="1" t="s">
        <v>181</v>
      </c>
      <c r="D62" s="1" t="s">
        <v>231</v>
      </c>
      <c r="E62" s="25" t="s">
        <v>525</v>
      </c>
    </row>
    <row r="63" spans="1:5" ht="12.75">
      <c r="A63" s="24" t="s">
        <v>115</v>
      </c>
      <c r="B63" s="1" t="s">
        <v>29</v>
      </c>
      <c r="C63" s="1" t="s">
        <v>199</v>
      </c>
      <c r="D63" s="1" t="s">
        <v>526</v>
      </c>
      <c r="E63" s="25" t="s">
        <v>527</v>
      </c>
    </row>
  </sheetData>
  <sheetProtection selectLockedCells="1" selectUnlockedCells="1"/>
  <mergeCells count="21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1:T11"/>
    <mergeCell ref="A14:T14"/>
    <mergeCell ref="A17:T17"/>
    <mergeCell ref="A21:T21"/>
    <mergeCell ref="A25:T25"/>
    <mergeCell ref="A28:T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/>
  <cp:lastPrinted>2008-02-22T21:19:54Z</cp:lastPrinted>
  <dcterms:created xsi:type="dcterms:W3CDTF">2002-06-16T13:36:44Z</dcterms:created>
  <dcterms:modified xsi:type="dcterms:W3CDTF">2018-04-17T19:49:28Z</dcterms:modified>
  <cp:category/>
  <cp:version/>
  <cp:contentType/>
  <cp:contentStatus/>
  <cp:revision>3</cp:revision>
</cp:coreProperties>
</file>