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tabRatio="851" firstSheet="6" activeTab="6"/>
  </bookViews>
  <sheets>
    <sheet name="AWPC PL RAW" sheetId="1" r:id="rId1"/>
    <sheet name="AWPC PL CLASSIC" sheetId="2" r:id="rId2"/>
    <sheet name="AWPC BP RAW" sheetId="3" r:id="rId3"/>
    <sheet name="AWPC BP SOFT STD EQ" sheetId="4" r:id="rId4"/>
    <sheet name=" AWPC Folk bp (1 b w)" sheetId="5" r:id="rId5"/>
    <sheet name="AWPC STRICT CURL" sheetId="6" r:id="rId6"/>
    <sheet name="AWPC DL RAW" sheetId="7" r:id="rId7"/>
    <sheet name="WPC PL RAW" sheetId="8" r:id="rId8"/>
    <sheet name="WPC PL CLASSIC" sheetId="9" r:id="rId9"/>
    <sheet name="WPC BP RAW" sheetId="10" r:id="rId10"/>
    <sheet name="WPC BP SOFT STD EQ" sheetId="11" r:id="rId11"/>
    <sheet name="WPC BP SOFT M-PLY EQ" sheetId="12" r:id="rId12"/>
    <sheet name="WPC Folk bp (1 b w)" sheetId="13" r:id="rId13"/>
    <sheet name="WPC STRICT CURL " sheetId="14" r:id="rId14"/>
    <sheet name="WPC DL RAW" sheetId="15" r:id="rId15"/>
    <sheet name="WPC DL EQ 1-PLY" sheetId="16" r:id="rId16"/>
  </sheets>
  <definedNames/>
  <calcPr fullCalcOnLoad="1" refMode="R1C1"/>
</workbook>
</file>

<file path=xl/sharedStrings.xml><?xml version="1.0" encoding="utf-8"?>
<sst xmlns="http://schemas.openxmlformats.org/spreadsheetml/2006/main" count="2575" uniqueCount="702">
  <si>
    <t>ФИО</t>
  </si>
  <si>
    <t>Присед</t>
  </si>
  <si>
    <t>Жим</t>
  </si>
  <si>
    <t>Тяга</t>
  </si>
  <si>
    <t>Сумма</t>
  </si>
  <si>
    <t>С вес</t>
  </si>
  <si>
    <t>Тренер</t>
  </si>
  <si>
    <t>Очки</t>
  </si>
  <si>
    <t>Команда</t>
  </si>
  <si>
    <t>Рек</t>
  </si>
  <si>
    <t>коэф</t>
  </si>
  <si>
    <t>Город</t>
  </si>
  <si>
    <t>Возр груп
Год. р./Возраст</t>
  </si>
  <si>
    <t>ВЕСОВАЯ КАТЕГОРИЯ   75</t>
  </si>
  <si>
    <t>Батинова Ольга</t>
  </si>
  <si>
    <t>Masters 45-49 (22.09.1974)/46</t>
  </si>
  <si>
    <t>71,70</t>
  </si>
  <si>
    <t xml:space="preserve">Мегалифт </t>
  </si>
  <si>
    <t xml:space="preserve">Москва </t>
  </si>
  <si>
    <t>70,0</t>
  </si>
  <si>
    <t>80,0</t>
  </si>
  <si>
    <t>85,0</t>
  </si>
  <si>
    <t>40,0</t>
  </si>
  <si>
    <t>45,0</t>
  </si>
  <si>
    <t>50,0</t>
  </si>
  <si>
    <t>95,0</t>
  </si>
  <si>
    <t>105,0</t>
  </si>
  <si>
    <t>110,0</t>
  </si>
  <si>
    <t>230.00</t>
  </si>
  <si>
    <t xml:space="preserve">Григориев Иван </t>
  </si>
  <si>
    <t>ВЕСОВАЯ КАТЕГОРИЯ   110</t>
  </si>
  <si>
    <t>Туляков Никита</t>
  </si>
  <si>
    <t>Open (23.02.1988)/32</t>
  </si>
  <si>
    <t>109,30</t>
  </si>
  <si>
    <t>200,0</t>
  </si>
  <si>
    <t>210,0</t>
  </si>
  <si>
    <t>220,0</t>
  </si>
  <si>
    <t>140,0</t>
  </si>
  <si>
    <t>150,0</t>
  </si>
  <si>
    <t>155,0</t>
  </si>
  <si>
    <t>230,0</t>
  </si>
  <si>
    <t>245,0</t>
  </si>
  <si>
    <t>260,0</t>
  </si>
  <si>
    <t>635.00</t>
  </si>
  <si>
    <t xml:space="preserve"> 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</si>
  <si>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</si>
  <si>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</si>
  <si>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</si>
  <si>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</si>
  <si>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</si>
  <si>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</si>
  <si>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Женщины </t>
  </si>
  <si>
    <t xml:space="preserve">Masters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</si>
  <si>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</si>
  <si>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</si>
  <si>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</si>
  <si>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</si>
  <si>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Коэф. </t>
  </si>
  <si>
    <t xml:space="preserve">Мастера 45 - 49 </t>
  </si>
  <si>
    <t xml:space="preserve">75 </t>
  </si>
  <si>
    <t>209,1764</t>
  </si>
  <si>
    <t xml:space="preserve">Мужчины </t>
  </si>
  <si>
    <t xml:space="preserve">Open </t>
  </si>
  <si>
    <t xml:space="preserve">Открытая </t>
  </si>
  <si>
    <t xml:space="preserve">110 </t>
  </si>
  <si>
    <t>635,0</t>
  </si>
  <si>
    <t>357,8225</t>
  </si>
  <si>
    <t>ВЕСОВАЯ КАТЕГОРИЯ   82.5</t>
  </si>
  <si>
    <t>Оздемир Денис</t>
  </si>
  <si>
    <t>Open (21.07.1992)/28</t>
  </si>
  <si>
    <t>81,30</t>
  </si>
  <si>
    <t xml:space="preserve">лично </t>
  </si>
  <si>
    <t xml:space="preserve">Чехов/Московская область </t>
  </si>
  <si>
    <t>180,0</t>
  </si>
  <si>
    <t>ВЕСОВАЯ КАТЕГОРИЯ   67.5</t>
  </si>
  <si>
    <t>Пэлэдуцэ Лучиан</t>
  </si>
  <si>
    <t>Teen 13-15 (16.08.2004)/16</t>
  </si>
  <si>
    <t>64,50</t>
  </si>
  <si>
    <t xml:space="preserve">Горизонт </t>
  </si>
  <si>
    <t xml:space="preserve">Домодедово/Московская область </t>
  </si>
  <si>
    <t>0,0</t>
  </si>
  <si>
    <t>60,0</t>
  </si>
  <si>
    <t>67,5</t>
  </si>
  <si>
    <t>Цишуров Константин</t>
  </si>
  <si>
    <t>Masters 40-44 (01.03.1976)/44</t>
  </si>
  <si>
    <t>75,00</t>
  </si>
  <si>
    <t>90,0</t>
  </si>
  <si>
    <t>Куракин Николай</t>
  </si>
  <si>
    <t>Open (07.11.1994)/26</t>
  </si>
  <si>
    <t>75,80</t>
  </si>
  <si>
    <t xml:space="preserve">Воскресенск/Московская область </t>
  </si>
  <si>
    <t>115,0</t>
  </si>
  <si>
    <t>120,0</t>
  </si>
  <si>
    <t>125,0</t>
  </si>
  <si>
    <t>100,0</t>
  </si>
  <si>
    <t>ВЕСОВАЯ КАТЕГОРИЯ   90</t>
  </si>
  <si>
    <t>Ветров Владимир</t>
  </si>
  <si>
    <t>Masters 55-59 (02.09.1964)/56</t>
  </si>
  <si>
    <t>84,50</t>
  </si>
  <si>
    <t>130,0</t>
  </si>
  <si>
    <t>ВЕСОВАЯ КАТЕГОРИЯ   100</t>
  </si>
  <si>
    <t>Петров Александр</t>
  </si>
  <si>
    <t>Masters 55-59 (17.07.1960)/60</t>
  </si>
  <si>
    <t>95,10</t>
  </si>
  <si>
    <t>170,0</t>
  </si>
  <si>
    <t>190,0</t>
  </si>
  <si>
    <t>Абаев Асламбек</t>
  </si>
  <si>
    <t>Masters 60-64 (28.05.1959)/61</t>
  </si>
  <si>
    <t>95,50</t>
  </si>
  <si>
    <t xml:space="preserve">Владикавказ/Северная Осетия - Алания </t>
  </si>
  <si>
    <t>185,0</t>
  </si>
  <si>
    <t>195,0</t>
  </si>
  <si>
    <t>Лазарев Денис</t>
  </si>
  <si>
    <t>Teen 16-17 (02.09.2003)/17</t>
  </si>
  <si>
    <t>109,40</t>
  </si>
  <si>
    <t>Маскуров Гирихан</t>
  </si>
  <si>
    <t>Open (27.10.1987)/33</t>
  </si>
  <si>
    <t>108,90</t>
  </si>
  <si>
    <t>160,0</t>
  </si>
  <si>
    <t>172,5</t>
  </si>
  <si>
    <t>Пивоваров Олег</t>
  </si>
  <si>
    <t>Masters 55-59 (18.03.1963)/57</t>
  </si>
  <si>
    <t>102,30</t>
  </si>
  <si>
    <t xml:space="preserve">Казань/Татарстан </t>
  </si>
  <si>
    <t>165,0</t>
  </si>
  <si>
    <t xml:space="preserve">Маслов В.И. </t>
  </si>
  <si>
    <t>ВЕСОВАЯ КАТЕГОРИЯ   125</t>
  </si>
  <si>
    <t>Гордон Лев</t>
  </si>
  <si>
    <t>Open (20.01.1995)/25</t>
  </si>
  <si>
    <t>111,70</t>
  </si>
  <si>
    <t>175,0</t>
  </si>
  <si>
    <t>Жильцов Игорь</t>
  </si>
  <si>
    <t>Masters 45-49 (14.08.1970)/50</t>
  </si>
  <si>
    <t>123,70</t>
  </si>
  <si>
    <t>135,0</t>
  </si>
  <si>
    <t>142,5</t>
  </si>
  <si>
    <t>Сизов Владимир</t>
  </si>
  <si>
    <t>Masters 55-59 (18.10.1963)/57</t>
  </si>
  <si>
    <t>112,60</t>
  </si>
  <si>
    <t xml:space="preserve">Teenagers </t>
  </si>
  <si>
    <t xml:space="preserve">Юноши 16 - 17 </t>
  </si>
  <si>
    <t>56,3350</t>
  </si>
  <si>
    <t xml:space="preserve">Юноши 13 - 15 </t>
  </si>
  <si>
    <t xml:space="preserve">67.5 </t>
  </si>
  <si>
    <t>46,7160</t>
  </si>
  <si>
    <t xml:space="preserve">125 </t>
  </si>
  <si>
    <t>100,8360</t>
  </si>
  <si>
    <t>90,2480</t>
  </si>
  <si>
    <t xml:space="preserve">82.5 </t>
  </si>
  <si>
    <t>81,9840</t>
  </si>
  <si>
    <t>71,5880</t>
  </si>
  <si>
    <t xml:space="preserve">Мастера 60 - 64 </t>
  </si>
  <si>
    <t xml:space="preserve">100 </t>
  </si>
  <si>
    <t>155,0685</t>
  </si>
  <si>
    <t xml:space="preserve">Мастера 55 - 59 </t>
  </si>
  <si>
    <t>140,7418</t>
  </si>
  <si>
    <t>118,4301</t>
  </si>
  <si>
    <t xml:space="preserve">90 </t>
  </si>
  <si>
    <t>101,1158</t>
  </si>
  <si>
    <t>86,7476</t>
  </si>
  <si>
    <t>69,6514</t>
  </si>
  <si>
    <t xml:space="preserve">Мастера 40 - 44 </t>
  </si>
  <si>
    <t>63,8906</t>
  </si>
  <si>
    <t>Гадецкая Мария</t>
  </si>
  <si>
    <t>Open (19.04.1987)/33</t>
  </si>
  <si>
    <t>62,70</t>
  </si>
  <si>
    <t xml:space="preserve">Клин/Московская область </t>
  </si>
  <si>
    <t>62,5</t>
  </si>
  <si>
    <t>132,5</t>
  </si>
  <si>
    <t xml:space="preserve">Козлов Игорь </t>
  </si>
  <si>
    <t>Шилов Никита</t>
  </si>
  <si>
    <t>Teen 16-17 (07.03.2002)/18</t>
  </si>
  <si>
    <t>66,70</t>
  </si>
  <si>
    <t xml:space="preserve">Владимир/Владимирская область </t>
  </si>
  <si>
    <t>82,5</t>
  </si>
  <si>
    <t>87,5</t>
  </si>
  <si>
    <t>Малюта Алексей</t>
  </si>
  <si>
    <t>Open (06.10.1985)/35</t>
  </si>
  <si>
    <t>62,80</t>
  </si>
  <si>
    <t>65,0</t>
  </si>
  <si>
    <t>72,5</t>
  </si>
  <si>
    <t>Дыба Михаил</t>
  </si>
  <si>
    <t>Open (09.12.1997)/23</t>
  </si>
  <si>
    <t>79,50</t>
  </si>
  <si>
    <t xml:space="preserve">Красногорск/Московская область </t>
  </si>
  <si>
    <t>145,0</t>
  </si>
  <si>
    <t>152,5</t>
  </si>
  <si>
    <t>92,5</t>
  </si>
  <si>
    <t>97,5</t>
  </si>
  <si>
    <t>205,0</t>
  </si>
  <si>
    <t>Жданов Павел</t>
  </si>
  <si>
    <t>Masters 40-44 (01.01.1980)/40</t>
  </si>
  <si>
    <t>122,90</t>
  </si>
  <si>
    <t xml:space="preserve">Геленджик/Краснодарский край </t>
  </si>
  <si>
    <t>240,0</t>
  </si>
  <si>
    <t>250,0</t>
  </si>
  <si>
    <t>182,5</t>
  </si>
  <si>
    <t>280,0</t>
  </si>
  <si>
    <t>290,0</t>
  </si>
  <si>
    <t>300,0</t>
  </si>
  <si>
    <t>325,0</t>
  </si>
  <si>
    <t>309,8875</t>
  </si>
  <si>
    <t>350,0</t>
  </si>
  <si>
    <t>264,6350</t>
  </si>
  <si>
    <t>455,0</t>
  </si>
  <si>
    <t>300,5730</t>
  </si>
  <si>
    <t>310,0</t>
  </si>
  <si>
    <t>247,2870</t>
  </si>
  <si>
    <t>715,0</t>
  </si>
  <si>
    <t>391,7485</t>
  </si>
  <si>
    <t>ВЕСОВАЯ КАТЕГОРИЯ   48</t>
  </si>
  <si>
    <t>Мочалова Надежда</t>
  </si>
  <si>
    <t>Teen 13-15 (22.02.2007)/13</t>
  </si>
  <si>
    <t>47,20</t>
  </si>
  <si>
    <t>55,0</t>
  </si>
  <si>
    <t>ВЕСОВАЯ КАТЕГОРИЯ   52</t>
  </si>
  <si>
    <t>Титова Анастасия</t>
  </si>
  <si>
    <t>Juniors 20-23 (28.04.1997)/23</t>
  </si>
  <si>
    <t>50,80</t>
  </si>
  <si>
    <t>57,5</t>
  </si>
  <si>
    <t>Ильинская Екатерина</t>
  </si>
  <si>
    <t>Open (04.12.1988)/32</t>
  </si>
  <si>
    <t>50,90</t>
  </si>
  <si>
    <t xml:space="preserve">Пущино/Московская область </t>
  </si>
  <si>
    <t>ВЕСОВАЯ КАТЕГОРИЯ   56</t>
  </si>
  <si>
    <t>Михно Виктория</t>
  </si>
  <si>
    <t>Open (16.01.1992)/28</t>
  </si>
  <si>
    <t>53,70</t>
  </si>
  <si>
    <t>Мартынова Дарья</t>
  </si>
  <si>
    <t>Open (20.01.1989)/31</t>
  </si>
  <si>
    <t>53,90</t>
  </si>
  <si>
    <t>35,0</t>
  </si>
  <si>
    <t>37,5</t>
  </si>
  <si>
    <t xml:space="preserve">Друпова Дарья </t>
  </si>
  <si>
    <t>ВЕСОВАЯ КАТЕГОРИЯ   60</t>
  </si>
  <si>
    <t>Спирина Алла</t>
  </si>
  <si>
    <t>Open (18.06.1993)/27</t>
  </si>
  <si>
    <t>57,50</t>
  </si>
  <si>
    <t xml:space="preserve">Рязань/Рязанская область </t>
  </si>
  <si>
    <t>Данилова Мария</t>
  </si>
  <si>
    <t>Teen 18-19 (27.06.2000)/20</t>
  </si>
  <si>
    <t>67,50</t>
  </si>
  <si>
    <t>Голованова Марина</t>
  </si>
  <si>
    <t>Open (31.03.1992)/28</t>
  </si>
  <si>
    <t>72,20</t>
  </si>
  <si>
    <t>42,5</t>
  </si>
  <si>
    <t>47,5</t>
  </si>
  <si>
    <t>Рогачев Артур</t>
  </si>
  <si>
    <t>Open (22.08.1993)/27</t>
  </si>
  <si>
    <t>59,10</t>
  </si>
  <si>
    <t xml:space="preserve">Краснознаменск/Московская область </t>
  </si>
  <si>
    <t>112,5</t>
  </si>
  <si>
    <t>Зубков Егор</t>
  </si>
  <si>
    <t>Teen 13-15 (04.02.2005)/15</t>
  </si>
  <si>
    <t>66,20</t>
  </si>
  <si>
    <t>107,5</t>
  </si>
  <si>
    <t>Филипчук Иван</t>
  </si>
  <si>
    <t>Teen 16-17 (25.03.2003)/17</t>
  </si>
  <si>
    <t>65,40</t>
  </si>
  <si>
    <t>Хорошилов Андрей</t>
  </si>
  <si>
    <t>Open (02.07.1989)/31</t>
  </si>
  <si>
    <t>66,00</t>
  </si>
  <si>
    <t>Чилачава Кахабер</t>
  </si>
  <si>
    <t>Teen 16-17 (20.03.2003)/17</t>
  </si>
  <si>
    <t>74,00</t>
  </si>
  <si>
    <t>Азизов Рауф</t>
  </si>
  <si>
    <t>Open (21.09.1989)/31</t>
  </si>
  <si>
    <t>71,60</t>
  </si>
  <si>
    <t xml:space="preserve">пос. Труд/Владимирская </t>
  </si>
  <si>
    <t>Борновалов Андрей</t>
  </si>
  <si>
    <t>Open (25.07.1993)/27</t>
  </si>
  <si>
    <t>72,50</t>
  </si>
  <si>
    <t>117,5</t>
  </si>
  <si>
    <t>Жариков Евгений</t>
  </si>
  <si>
    <t>Open (04.03.1991)/29</t>
  </si>
  <si>
    <t>73,00</t>
  </si>
  <si>
    <t xml:space="preserve">Люберцы/Московская область </t>
  </si>
  <si>
    <t>Каптильный Андрей</t>
  </si>
  <si>
    <t>Open (05.12.1987)/33</t>
  </si>
  <si>
    <t>73,10</t>
  </si>
  <si>
    <t>Еремеев Илья</t>
  </si>
  <si>
    <t>Open (02.12.1988)/32</t>
  </si>
  <si>
    <t>Елисеев Данил</t>
  </si>
  <si>
    <t>Open (14.06.1993)/27</t>
  </si>
  <si>
    <t>71,30</t>
  </si>
  <si>
    <t>Кондзерский Алексей</t>
  </si>
  <si>
    <t>Teen 13-15 (10.10.2005)/15</t>
  </si>
  <si>
    <t>80,00</t>
  </si>
  <si>
    <t xml:space="preserve">Мардон </t>
  </si>
  <si>
    <t xml:space="preserve">Балашиха/Московская область </t>
  </si>
  <si>
    <t>Панфилов Виталий</t>
  </si>
  <si>
    <t>Teen 18-19 (24.11.2000)/20</t>
  </si>
  <si>
    <t>76,70</t>
  </si>
  <si>
    <t>127,5</t>
  </si>
  <si>
    <t>Гапонов Денис</t>
  </si>
  <si>
    <t>Juniors 20-23 (01.07.1996)/24</t>
  </si>
  <si>
    <t>81,10</t>
  </si>
  <si>
    <t>Манаенков Александр</t>
  </si>
  <si>
    <t>Open (19.04.1992)/28</t>
  </si>
  <si>
    <t>79,30</t>
  </si>
  <si>
    <t xml:space="preserve">Железногорск/Курская область </t>
  </si>
  <si>
    <t>Фомин Роман</t>
  </si>
  <si>
    <t>Open (21.09.1978)/42</t>
  </si>
  <si>
    <t>78,40</t>
  </si>
  <si>
    <t>Правдин Виктор</t>
  </si>
  <si>
    <t>Open (01.11.1987)/33</t>
  </si>
  <si>
    <t>79,60</t>
  </si>
  <si>
    <t>122,5</t>
  </si>
  <si>
    <t>Мотов Владимир</t>
  </si>
  <si>
    <t>Masters 45-49 (19.02.1974)/46</t>
  </si>
  <si>
    <t>81,20</t>
  </si>
  <si>
    <t>Салосалов Сергей</t>
  </si>
  <si>
    <t>Teen 13-15 (11.09.2004)/16</t>
  </si>
  <si>
    <t>85,70</t>
  </si>
  <si>
    <t xml:space="preserve">Щелково/Московская область </t>
  </si>
  <si>
    <t>Комаров Дмитрий</t>
  </si>
  <si>
    <t>Juniors 20-23 (08.11.1996)/24</t>
  </si>
  <si>
    <t>88,70</t>
  </si>
  <si>
    <t xml:space="preserve">Новосибирск/Новосибирская область </t>
  </si>
  <si>
    <t>Своровский Георгий</t>
  </si>
  <si>
    <t>Juniors 20-23 (30.05.1997)/23</t>
  </si>
  <si>
    <t>89,00</t>
  </si>
  <si>
    <t>Сандик Дмитриан</t>
  </si>
  <si>
    <t>Open (28.07.1990)/30</t>
  </si>
  <si>
    <t>89,10</t>
  </si>
  <si>
    <t xml:space="preserve">Тверь/Тверская область </t>
  </si>
  <si>
    <t>Мищенко Артем</t>
  </si>
  <si>
    <t>Open (26.06.1984)/36</t>
  </si>
  <si>
    <t>89,20</t>
  </si>
  <si>
    <t>Соловьев Павел</t>
  </si>
  <si>
    <t>Open (28.01.1992)/28</t>
  </si>
  <si>
    <t>87,20</t>
  </si>
  <si>
    <t xml:space="preserve">Мариуполь/ </t>
  </si>
  <si>
    <t>Колмыков Юрий</t>
  </si>
  <si>
    <t>Open (14.11.1986)/34</t>
  </si>
  <si>
    <t>88,80</t>
  </si>
  <si>
    <t>Недуво Евгений</t>
  </si>
  <si>
    <t>Open (06.02.1995)/25</t>
  </si>
  <si>
    <t>87,50</t>
  </si>
  <si>
    <t>Смирнов Леонид</t>
  </si>
  <si>
    <t>Masters 60-64 (26.09.1957)/63</t>
  </si>
  <si>
    <t>89,30</t>
  </si>
  <si>
    <t>Янковский Дмитрий</t>
  </si>
  <si>
    <t>Open (16.04.1985)/35</t>
  </si>
  <si>
    <t>99,00</t>
  </si>
  <si>
    <t>162,5</t>
  </si>
  <si>
    <t>Банных Сергей</t>
  </si>
  <si>
    <t>Open (10.08.1985)/35</t>
  </si>
  <si>
    <t>98,00</t>
  </si>
  <si>
    <t xml:space="preserve">Видное/Московская область </t>
  </si>
  <si>
    <t>Бородулин Алексей</t>
  </si>
  <si>
    <t>Open (02.04.1984)/36</t>
  </si>
  <si>
    <t>94,60</t>
  </si>
  <si>
    <t>Богородский Артем</t>
  </si>
  <si>
    <t>Masters 40-44 (19.01.1977)/43</t>
  </si>
  <si>
    <t>106,70</t>
  </si>
  <si>
    <t>Киреев Дмитрий</t>
  </si>
  <si>
    <t>Masters 50-54 (25.08.1969)/51</t>
  </si>
  <si>
    <t>108,80</t>
  </si>
  <si>
    <t>Коротков Денис</t>
  </si>
  <si>
    <t>Open (17.03.1986)/34</t>
  </si>
  <si>
    <t>119,10</t>
  </si>
  <si>
    <t>Бычков Игорь</t>
  </si>
  <si>
    <t>Masters 45-49 (18.06.1970)/50</t>
  </si>
  <si>
    <t>118,70</t>
  </si>
  <si>
    <t xml:space="preserve">48 </t>
  </si>
  <si>
    <t>74,6375</t>
  </si>
  <si>
    <t xml:space="preserve">Юноши 18 - 19 </t>
  </si>
  <si>
    <t>58,4968</t>
  </si>
  <si>
    <t xml:space="preserve">Junior </t>
  </si>
  <si>
    <t xml:space="preserve">Юниоры 20 - 23 </t>
  </si>
  <si>
    <t xml:space="preserve">52 </t>
  </si>
  <si>
    <t>67,6920</t>
  </si>
  <si>
    <t>76,0320</t>
  </si>
  <si>
    <t xml:space="preserve">56 </t>
  </si>
  <si>
    <t>64,7760</t>
  </si>
  <si>
    <t xml:space="preserve">60 </t>
  </si>
  <si>
    <t>63,8750</t>
  </si>
  <si>
    <t>40,7503</t>
  </si>
  <si>
    <t>40,3650</t>
  </si>
  <si>
    <t>100,7120</t>
  </si>
  <si>
    <t>97,3630</t>
  </si>
  <si>
    <t>88,4465</t>
  </si>
  <si>
    <t>81,8021</t>
  </si>
  <si>
    <t>77,8952</t>
  </si>
  <si>
    <t>107,9488</t>
  </si>
  <si>
    <t>94,5182</t>
  </si>
  <si>
    <t>81,5803</t>
  </si>
  <si>
    <t>107,6775</t>
  </si>
  <si>
    <t>107,6075</t>
  </si>
  <si>
    <t>102,7950</t>
  </si>
  <si>
    <t>99,8550</t>
  </si>
  <si>
    <t>99,2625</t>
  </si>
  <si>
    <t>89,0295</t>
  </si>
  <si>
    <t>87,8441</t>
  </si>
  <si>
    <t>87,7450</t>
  </si>
  <si>
    <t>86,7100</t>
  </si>
  <si>
    <t>83,0020</t>
  </si>
  <si>
    <t>82,5614</t>
  </si>
  <si>
    <t>82,5062</t>
  </si>
  <si>
    <t>82,0890</t>
  </si>
  <si>
    <t>71,7405</t>
  </si>
  <si>
    <t>68,3925</t>
  </si>
  <si>
    <t>66,6805</t>
  </si>
  <si>
    <t>61,8100</t>
  </si>
  <si>
    <t>107,5742</t>
  </si>
  <si>
    <t xml:space="preserve">Мастера 50 - 54 </t>
  </si>
  <si>
    <t>105,2044</t>
  </si>
  <si>
    <t>102,7282</t>
  </si>
  <si>
    <t>93,9044</t>
  </si>
  <si>
    <t>Есаян Евгений</t>
  </si>
  <si>
    <t>Open (28.01.1993)/27</t>
  </si>
  <si>
    <t>97,90</t>
  </si>
  <si>
    <t>255,0</t>
  </si>
  <si>
    <t>Кулагин Дмитрий</t>
  </si>
  <si>
    <t>Open (07.06.1989)/31</t>
  </si>
  <si>
    <t>103,90</t>
  </si>
  <si>
    <t>137,4600</t>
  </si>
  <si>
    <t>134,9295</t>
  </si>
  <si>
    <t>117,1440</t>
  </si>
  <si>
    <t>ВЕСОВАЯ КАТЕГОРИЯ   140+</t>
  </si>
  <si>
    <t>Freyded Rankyn</t>
  </si>
  <si>
    <t>Open (07.10.1975)/45</t>
  </si>
  <si>
    <t>160,10</t>
  </si>
  <si>
    <t xml:space="preserve">Куба/ </t>
  </si>
  <si>
    <t>340,0</t>
  </si>
  <si>
    <t>Masters 40-44 (07.10.1975)/45</t>
  </si>
  <si>
    <t xml:space="preserve">140+ </t>
  </si>
  <si>
    <t>175,3822</t>
  </si>
  <si>
    <t>182,9236</t>
  </si>
  <si>
    <t>Вереникина Мария</t>
  </si>
  <si>
    <t>Open (14.10.1985)/35</t>
  </si>
  <si>
    <t>55,40</t>
  </si>
  <si>
    <t>Горбунова Вера</t>
  </si>
  <si>
    <t>Open (22.08.1981)/39</t>
  </si>
  <si>
    <t>54,80</t>
  </si>
  <si>
    <t>Иванюк Элеонора</t>
  </si>
  <si>
    <t>Masters 45-49 (08.10.1970)/50</t>
  </si>
  <si>
    <t>55,00</t>
  </si>
  <si>
    <t xml:space="preserve">Талипов Олег </t>
  </si>
  <si>
    <t>Уганина Ольга</t>
  </si>
  <si>
    <t>Masters 40-44 (28.04.1979)/41</t>
  </si>
  <si>
    <t>56,30</t>
  </si>
  <si>
    <t xml:space="preserve">Чепурной М.П. </t>
  </si>
  <si>
    <t>Крылова Софья</t>
  </si>
  <si>
    <t>Teen 16-17 (19.06.2002)/18</t>
  </si>
  <si>
    <t>Богомолова Мария</t>
  </si>
  <si>
    <t>Open (17.04.1972)/48</t>
  </si>
  <si>
    <t>65,20</t>
  </si>
  <si>
    <t>Шурова Светлана</t>
  </si>
  <si>
    <t>Masters 40-44 (17.12.1977)/43</t>
  </si>
  <si>
    <t>66,10</t>
  </si>
  <si>
    <t>Раскачнова Ирина</t>
  </si>
  <si>
    <t>Masters 45-49 (20.03.1973)/47</t>
  </si>
  <si>
    <t>Masters 45-49 (17.04.1972)/48</t>
  </si>
  <si>
    <t>Черник Светлана</t>
  </si>
  <si>
    <t>Masters 40-44 (25.01.1980)/40</t>
  </si>
  <si>
    <t>73,40</t>
  </si>
  <si>
    <t>137,5</t>
  </si>
  <si>
    <t>Калачев Николай</t>
  </si>
  <si>
    <t>Teen 13-15 (27.11.2004)/16</t>
  </si>
  <si>
    <t>73,20</t>
  </si>
  <si>
    <t xml:space="preserve">Королёв/Московская область </t>
  </si>
  <si>
    <t>Здрадовский Никита</t>
  </si>
  <si>
    <t>Open (17.06.1995)/25</t>
  </si>
  <si>
    <t>192,5</t>
  </si>
  <si>
    <t>202,5</t>
  </si>
  <si>
    <t>Гостяев Семен</t>
  </si>
  <si>
    <t>Open (27.01.1992)/28</t>
  </si>
  <si>
    <t>71,00</t>
  </si>
  <si>
    <t xml:space="preserve">Химки/Московская область </t>
  </si>
  <si>
    <t>207,5</t>
  </si>
  <si>
    <t>Наумов Иван</t>
  </si>
  <si>
    <t>Open (01.05.1995)/25</t>
  </si>
  <si>
    <t>Крюков Игорь</t>
  </si>
  <si>
    <t>Open (20.11.1991)/29</t>
  </si>
  <si>
    <t>69,40</t>
  </si>
  <si>
    <t>177,5</t>
  </si>
  <si>
    <t xml:space="preserve">Аниканов Антон </t>
  </si>
  <si>
    <t>Бондарев Дмитрий</t>
  </si>
  <si>
    <t>Juniors 20-23 (10.02.2000)/20</t>
  </si>
  <si>
    <t>82,30</t>
  </si>
  <si>
    <t>247,5</t>
  </si>
  <si>
    <t>Сидоров Илья</t>
  </si>
  <si>
    <t>Open (18.05.1989)/31</t>
  </si>
  <si>
    <t>90,00</t>
  </si>
  <si>
    <t xml:space="preserve">Пушкино/Московская область </t>
  </si>
  <si>
    <t>Карцев Василий</t>
  </si>
  <si>
    <t>Masters 40-44 (08.01.1979)/41</t>
  </si>
  <si>
    <t>Кириллов Артём</t>
  </si>
  <si>
    <t>Juniors 20-23 (11.12.1998)/22</t>
  </si>
  <si>
    <t>Змунчилэ Михаил</t>
  </si>
  <si>
    <t>Open (25.05.1983)/37</t>
  </si>
  <si>
    <t>95,60</t>
  </si>
  <si>
    <t>235,0</t>
  </si>
  <si>
    <t>Казаков Дмитрий</t>
  </si>
  <si>
    <t>Masters 40-44 (19.11.1976)/44</t>
  </si>
  <si>
    <t>98,60</t>
  </si>
  <si>
    <t>Плетнев Андрей</t>
  </si>
  <si>
    <t>Open (09.08.1987)/33</t>
  </si>
  <si>
    <t>107,40</t>
  </si>
  <si>
    <t xml:space="preserve">Хотьково/Московская область </t>
  </si>
  <si>
    <t>Савельев Дмитрий</t>
  </si>
  <si>
    <t>Masters 40-44 (28.01.1980)/40</t>
  </si>
  <si>
    <t>108,20</t>
  </si>
  <si>
    <t>225,0</t>
  </si>
  <si>
    <t>Лукьянов Сергей</t>
  </si>
  <si>
    <t>Masters 60-64 (25.10.1955)/65</t>
  </si>
  <si>
    <t>121,00</t>
  </si>
  <si>
    <t>107,5830</t>
  </si>
  <si>
    <t>131,6250</t>
  </si>
  <si>
    <t>100,9090</t>
  </si>
  <si>
    <t>87,8180</t>
  </si>
  <si>
    <t>144,4003</t>
  </si>
  <si>
    <t>116,6481</t>
  </si>
  <si>
    <t>114,3340</t>
  </si>
  <si>
    <t>103,4155</t>
  </si>
  <si>
    <t>97,9429</t>
  </si>
  <si>
    <t>95,0191</t>
  </si>
  <si>
    <t>87,6438</t>
  </si>
  <si>
    <t>99,2460</t>
  </si>
  <si>
    <t>96,8400</t>
  </si>
  <si>
    <t>148,9954</t>
  </si>
  <si>
    <t>146,0445</t>
  </si>
  <si>
    <t>145,3218</t>
  </si>
  <si>
    <t>143,2900</t>
  </si>
  <si>
    <t>140,8286</t>
  </si>
  <si>
    <t>138,7802</t>
  </si>
  <si>
    <t>120,6728</t>
  </si>
  <si>
    <t>119,3108</t>
  </si>
  <si>
    <t>151,4974</t>
  </si>
  <si>
    <t>150,7322</t>
  </si>
  <si>
    <t>141,3000</t>
  </si>
  <si>
    <t>127,2426</t>
  </si>
  <si>
    <t>Нестерова Алина</t>
  </si>
  <si>
    <t>Open (06.02.1996)/24</t>
  </si>
  <si>
    <t>59,30</t>
  </si>
  <si>
    <t xml:space="preserve">Мытищи/Московская область </t>
  </si>
  <si>
    <t>Мочалов Иван</t>
  </si>
  <si>
    <t>Open (07.01.1986)/34</t>
  </si>
  <si>
    <t>81,70</t>
  </si>
  <si>
    <t>Цветков Александр</t>
  </si>
  <si>
    <t>Open (10.04.1957)/63</t>
  </si>
  <si>
    <t xml:space="preserve">Дубна/Московская область </t>
  </si>
  <si>
    <t>212,5</t>
  </si>
  <si>
    <t>215,0</t>
  </si>
  <si>
    <t>Masters 60-64 (10.04.1957)/63</t>
  </si>
  <si>
    <t>234,2832</t>
  </si>
  <si>
    <t>552,5</t>
  </si>
  <si>
    <t>322,5495</t>
  </si>
  <si>
    <t>475,0</t>
  </si>
  <si>
    <t>308,1325</t>
  </si>
  <si>
    <t>449,3115</t>
  </si>
  <si>
    <t>75,0</t>
  </si>
  <si>
    <t>ВЕСОВАЯ КАТЕГОРИЯ   140</t>
  </si>
  <si>
    <t>Петров Алексей</t>
  </si>
  <si>
    <t>Masters 40-44 (25.03.1975)/45</t>
  </si>
  <si>
    <t>137,00</t>
  </si>
  <si>
    <t>232,5</t>
  </si>
  <si>
    <t>101,5070</t>
  </si>
  <si>
    <t>149,2010</t>
  </si>
  <si>
    <t xml:space="preserve">140 </t>
  </si>
  <si>
    <t>144,7478</t>
  </si>
  <si>
    <t>Ушаков Роман</t>
  </si>
  <si>
    <t>Open (27.11.1984)/36</t>
  </si>
  <si>
    <t>99,60</t>
  </si>
  <si>
    <t>Соколовский Николай</t>
  </si>
  <si>
    <t>Open (16.07.1992)/28</t>
  </si>
  <si>
    <t>97,70</t>
  </si>
  <si>
    <t xml:space="preserve">Витебск/Витебская область </t>
  </si>
  <si>
    <t>168,8670</t>
  </si>
  <si>
    <t>120,3657</t>
  </si>
  <si>
    <t>380,0</t>
  </si>
  <si>
    <t>400,0</t>
  </si>
  <si>
    <t>196,0154</t>
  </si>
  <si>
    <t>204,4441</t>
  </si>
  <si>
    <t>Грошков Юрий</t>
  </si>
  <si>
    <t>Open (31.07.1985)/35</t>
  </si>
  <si>
    <t>93,10</t>
  </si>
  <si>
    <t>41,2664</t>
  </si>
  <si>
    <t>27,0428</t>
  </si>
  <si>
    <t>43,0409</t>
  </si>
  <si>
    <t>27,5</t>
  </si>
  <si>
    <t>30,0</t>
  </si>
  <si>
    <t>32,5</t>
  </si>
  <si>
    <t>Третьяков Антон</t>
  </si>
  <si>
    <t>Teen 16-17 (24.06.2002)/18</t>
  </si>
  <si>
    <t>Черников Олег</t>
  </si>
  <si>
    <t>Open (21.04.1981)/39</t>
  </si>
  <si>
    <t xml:space="preserve">Белгород/Белгородская область </t>
  </si>
  <si>
    <t>52,5</t>
  </si>
  <si>
    <t>Соколов Артем</t>
  </si>
  <si>
    <t>Teen 18-19 (12.05.2000)/20</t>
  </si>
  <si>
    <t>78,20</t>
  </si>
  <si>
    <t xml:space="preserve">Руза/Московская область </t>
  </si>
  <si>
    <t>Ракитин Евгений</t>
  </si>
  <si>
    <t>Open (15.11.1982)/38</t>
  </si>
  <si>
    <t>82,50</t>
  </si>
  <si>
    <t xml:space="preserve">Истра/Московская область </t>
  </si>
  <si>
    <t>Глушков Михаил</t>
  </si>
  <si>
    <t>Juniors 20-23 (14.11.1996)/24</t>
  </si>
  <si>
    <t>87,40</t>
  </si>
  <si>
    <t>Касьянов Алексей</t>
  </si>
  <si>
    <t>Open (07.04.1989)/31</t>
  </si>
  <si>
    <t>86,70</t>
  </si>
  <si>
    <t>Галахов Дмитрий</t>
  </si>
  <si>
    <t>Masters 45-49 (01.02.1972)/48</t>
  </si>
  <si>
    <t>87,90</t>
  </si>
  <si>
    <t>33,8460</t>
  </si>
  <si>
    <t>35,4325</t>
  </si>
  <si>
    <t>35,0779</t>
  </si>
  <si>
    <t>41,6875</t>
  </si>
  <si>
    <t>41,5057</t>
  </si>
  <si>
    <t>36,8891</t>
  </si>
  <si>
    <t>35,9433</t>
  </si>
  <si>
    <t>35,4530</t>
  </si>
  <si>
    <t>37,4137</t>
  </si>
  <si>
    <t>36,5184</t>
  </si>
  <si>
    <t>Открытый кубок Москвы                                                                                           WPC народный жим (1 вес)
16 Февраля 2020</t>
  </si>
  <si>
    <t>Год. р.
Возр груп</t>
  </si>
  <si>
    <t>Вес</t>
  </si>
  <si>
    <t>Кол-во</t>
  </si>
  <si>
    <t>Пиндак Семен</t>
  </si>
  <si>
    <t>Open (18.09.1984)/36</t>
  </si>
  <si>
    <t>24,0</t>
  </si>
  <si>
    <t>77,5</t>
  </si>
  <si>
    <t>18,0</t>
  </si>
  <si>
    <t>Лавров Владимир</t>
  </si>
  <si>
    <t>Open (12.11.1976)/44</t>
  </si>
  <si>
    <t>84,70</t>
  </si>
  <si>
    <t>38,0</t>
  </si>
  <si>
    <t>Masters 40-44 (12.11.1976)/44</t>
  </si>
  <si>
    <t>Шевченко Виктор</t>
  </si>
  <si>
    <t>Open (24.07.1985)/35</t>
  </si>
  <si>
    <t>90,50</t>
  </si>
  <si>
    <t>26,0</t>
  </si>
  <si>
    <t>Гринберг Игорс</t>
  </si>
  <si>
    <t>Masters 50-54 (24.08.1969)/51</t>
  </si>
  <si>
    <t>99,90</t>
  </si>
  <si>
    <t>Голубев Егор</t>
  </si>
  <si>
    <t>Masters 45-49 (23.08.1974)/46</t>
  </si>
  <si>
    <t>133,50</t>
  </si>
  <si>
    <t>15,0</t>
  </si>
  <si>
    <t>11,0</t>
  </si>
  <si>
    <t>3230,0</t>
  </si>
  <si>
    <t>2047,8200</t>
  </si>
  <si>
    <t>2405,0</t>
  </si>
  <si>
    <t>1467,0500</t>
  </si>
  <si>
    <t>1740,0</t>
  </si>
  <si>
    <t>1233,0510</t>
  </si>
  <si>
    <t>1395,0</t>
  </si>
  <si>
    <t>953,0640</t>
  </si>
  <si>
    <t>1787,5</t>
  </si>
  <si>
    <t>922,0461</t>
  </si>
  <si>
    <t>2111,3024</t>
  </si>
  <si>
    <t>2600,0</t>
  </si>
  <si>
    <t>1708,5939</t>
  </si>
  <si>
    <t>2025,0</t>
  </si>
  <si>
    <t>1147,0625</t>
  </si>
  <si>
    <t>961,6941</t>
  </si>
  <si>
    <t>Открытый кубок Москвы                                                                                       AWPC yародный жим (1 вес)
16 Февраля 2020</t>
  </si>
  <si>
    <t>Поликарпов Олег</t>
  </si>
  <si>
    <t>Open (15.11.1973)/47</t>
  </si>
  <si>
    <t>67,60</t>
  </si>
  <si>
    <t>37,0</t>
  </si>
  <si>
    <t>29,0</t>
  </si>
  <si>
    <t>Потапов Александр</t>
  </si>
  <si>
    <t>Open (31.03.1988)/32</t>
  </si>
  <si>
    <t>73,50</t>
  </si>
  <si>
    <t xml:space="preserve">Звенигород/Московская область </t>
  </si>
  <si>
    <t>17,0</t>
  </si>
  <si>
    <t>12,0</t>
  </si>
  <si>
    <t>Прокофьев Андрей</t>
  </si>
  <si>
    <t>Open (19.09.1981)/39</t>
  </si>
  <si>
    <t>113,20</t>
  </si>
  <si>
    <t>3,0</t>
  </si>
  <si>
    <t>2590,0</t>
  </si>
  <si>
    <t>1936,0250</t>
  </si>
  <si>
    <t>2102,5</t>
  </si>
  <si>
    <t>1499,6081</t>
  </si>
  <si>
    <t>2340,0</t>
  </si>
  <si>
    <t>1438,8660</t>
  </si>
  <si>
    <t>1275,0</t>
  </si>
  <si>
    <t>891,2250</t>
  </si>
  <si>
    <t>1870,0</t>
  </si>
  <si>
    <t>1192,3167</t>
  </si>
  <si>
    <t>1080,0</t>
  </si>
  <si>
    <t>924,5536</t>
  </si>
  <si>
    <t>Открытый кубок Москвы                                                                                                                                        AWPC пауэрлифтинг без экипировки
16 Февраля 2020</t>
  </si>
  <si>
    <t xml:space="preserve"> Открытый кубок Москвы                                                                                                                                                                 AWPC классический пауэрлифтинг
16 Февраля 2020</t>
  </si>
  <si>
    <t>Открытый кубок Москвы                                                                                         AWPC жим лежа без экипировки
16 Февраля 2020</t>
  </si>
  <si>
    <t>Открытый кубок Москвы                                                               AWPC жим лежа в стандартной софт экипировке
16 Февраля 2020</t>
  </si>
  <si>
    <t>Открытый кубок Москвы                                                                                       AWPC строгий подъем штанги на бицепс
16 Февраля 2020</t>
  </si>
  <si>
    <t>Открытый кубок Москвы                                                                                             AWPC становая тяга без экипировки 
16 Февраля 2020</t>
  </si>
  <si>
    <t>Открытый кубок Москвы                                                                                                    WPC пауэрлифтинг без экипировки
16 Февраля 2020</t>
  </si>
  <si>
    <t>Открытый кубок Москвы                                                                                                                 WPC пауэрлифтинг классический 
16 Февраля 2020</t>
  </si>
  <si>
    <t>Открытый кубок Москвы                                                                                                                       WPC жим лежа без экипировки
16 Февраля 2020</t>
  </si>
  <si>
    <t>Открытый кубок Москвы                                                                              WPC жим лежа в стандартной софт экипировке
16 Февраля 2020</t>
  </si>
  <si>
    <t>Открытый кубок Москвы                                                                           WPC жим лежа в многослойной софт экипировке
16 Февраля 2020</t>
  </si>
  <si>
    <t>Открытый кубок Москвы                                                                       WPC строгий подъем штанги на бицепс
16 Февраля 2020</t>
  </si>
  <si>
    <t>Открытый кубок Москвы                                                                                      WPC становая тяга без экипировки
16 Февраля2020</t>
  </si>
  <si>
    <t>Открытый кубок Москвы                                                                    WPC становая тага в однослойной экипировке                                  
16 Февраля 2020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</si>
</sst>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</numFmts>
  <fonts count="47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indent="1"/>
    </xf>
    <xf numFmtId="49" fontId="11" fillId="0" borderId="0" xfId="0" applyNumberFormat="1" applyFont="1" applyFill="1" applyBorder="1" applyAlignment="1">
      <alignment horizontal="left" indent="1"/>
    </xf>
    <xf numFmtId="49" fontId="12" fillId="0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/>
    </xf>
    <xf numFmtId="49" fontId="8" fillId="0" borderId="11" xfId="0" applyNumberFormat="1" applyFont="1" applyBorder="1" applyAlignment="1">
      <alignment/>
    </xf>
    <xf numFmtId="49" fontId="5" fillId="0" borderId="0" xfId="0" applyNumberFormat="1" applyFont="1" applyAlignment="1">
      <alignment horizontal="left"/>
    </xf>
    <xf numFmtId="49" fontId="10" fillId="0" borderId="0" xfId="0" applyNumberFormat="1" applyFont="1" applyAlignment="1">
      <alignment/>
    </xf>
    <xf numFmtId="49" fontId="0" fillId="0" borderId="12" xfId="0" applyNumberFormat="1" applyBorder="1" applyAlignment="1">
      <alignment/>
    </xf>
    <xf numFmtId="49" fontId="8" fillId="0" borderId="12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9" fontId="8" fillId="0" borderId="13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49" fontId="8" fillId="0" borderId="14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 horizontal="left" indent="1"/>
    </xf>
    <xf numFmtId="49" fontId="12" fillId="0" borderId="0" xfId="0" applyNumberFormat="1" applyFont="1" applyAlignment="1">
      <alignment horizontal="left" indent="1"/>
    </xf>
    <xf numFmtId="49" fontId="12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4.75390625" style="19" bestFit="1" customWidth="1"/>
    <col min="2" max="2" width="26.625" style="19" bestFit="1" customWidth="1"/>
    <col min="3" max="3" width="10.125" style="19" bestFit="1" customWidth="1"/>
    <col min="4" max="4" width="8.25390625" style="19" bestFit="1" customWidth="1"/>
    <col min="5" max="5" width="21.75390625" style="19" bestFit="1" customWidth="1"/>
    <col min="6" max="6" width="31.25390625" style="19" bestFit="1" customWidth="1"/>
    <col min="7" max="9" width="5.625" style="19" bestFit="1" customWidth="1"/>
    <col min="10" max="10" width="4.25390625" style="19" bestFit="1" customWidth="1"/>
    <col min="11" max="13" width="5.625" style="19" bestFit="1" customWidth="1"/>
    <col min="14" max="14" width="4.25390625" style="19" bestFit="1" customWidth="1"/>
    <col min="15" max="17" width="5.625" style="19" bestFit="1" customWidth="1"/>
    <col min="18" max="18" width="4.25390625" style="19" bestFit="1" customWidth="1"/>
    <col min="19" max="19" width="7.75390625" style="19" bestFit="1" customWidth="1"/>
    <col min="20" max="20" width="8.625" style="19" bestFit="1" customWidth="1"/>
    <col min="21" max="21" width="13.25390625" style="19" bestFit="1" customWidth="1"/>
  </cols>
  <sheetData>
    <row r="1" spans="1:21" s="1" customFormat="1" ht="15" customHeight="1">
      <c r="A1" s="36" t="s">
        <v>688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8"/>
    </row>
    <row r="2" spans="1:21" s="1" customFormat="1" ht="81.7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1"/>
    </row>
    <row r="3" spans="1:21" s="2" customFormat="1" ht="12.75" customHeight="1">
      <c r="A3" s="42" t="s">
        <v>0</v>
      </c>
      <c r="B3" s="44" t="s">
        <v>12</v>
      </c>
      <c r="C3" s="46" t="s">
        <v>5</v>
      </c>
      <c r="D3" s="46" t="s">
        <v>10</v>
      </c>
      <c r="E3" s="46" t="s">
        <v>8</v>
      </c>
      <c r="F3" s="46" t="s">
        <v>11</v>
      </c>
      <c r="G3" s="46" t="s">
        <v>1</v>
      </c>
      <c r="H3" s="46"/>
      <c r="I3" s="46"/>
      <c r="J3" s="46"/>
      <c r="K3" s="46" t="s">
        <v>2</v>
      </c>
      <c r="L3" s="46"/>
      <c r="M3" s="46"/>
      <c r="N3" s="46"/>
      <c r="O3" s="46" t="s">
        <v>3</v>
      </c>
      <c r="P3" s="46"/>
      <c r="Q3" s="46"/>
      <c r="R3" s="46"/>
      <c r="S3" s="46" t="s">
        <v>4</v>
      </c>
      <c r="T3" s="46" t="s">
        <v>7</v>
      </c>
      <c r="U3" s="48" t="s">
        <v>6</v>
      </c>
    </row>
    <row r="4" spans="1:21" s="2" customFormat="1" ht="21" customHeight="1" thickBot="1">
      <c r="A4" s="43"/>
      <c r="B4" s="45"/>
      <c r="C4" s="45"/>
      <c r="D4" s="45"/>
      <c r="E4" s="45"/>
      <c r="F4" s="45"/>
      <c r="G4" s="3">
        <v>1</v>
      </c>
      <c r="H4" s="3">
        <v>2</v>
      </c>
      <c r="I4" s="3">
        <v>3</v>
      </c>
      <c r="J4" s="3" t="s">
        <v>9</v>
      </c>
      <c r="K4" s="3">
        <v>1</v>
      </c>
      <c r="L4" s="3">
        <v>2</v>
      </c>
      <c r="M4" s="3">
        <v>3</v>
      </c>
      <c r="N4" s="3" t="s">
        <v>9</v>
      </c>
      <c r="O4" s="3">
        <v>1</v>
      </c>
      <c r="P4" s="3">
        <v>2</v>
      </c>
      <c r="Q4" s="3">
        <v>3</v>
      </c>
      <c r="R4" s="3" t="s">
        <v>9</v>
      </c>
      <c r="S4" s="45"/>
      <c r="T4" s="45"/>
      <c r="U4" s="49"/>
    </row>
    <row r="5" spans="1:20" ht="15">
      <c r="A5" s="50" t="s">
        <v>74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1" ht="12.75">
      <c r="A6" s="20" t="s">
        <v>163</v>
      </c>
      <c r="B6" s="20" t="s">
        <v>164</v>
      </c>
      <c r="C6" s="20" t="s">
        <v>165</v>
      </c>
      <c r="D6" s="20" t="str">
        <f>"0,9535"</f>
        <v>0,9535</v>
      </c>
      <c r="E6" s="20" t="s">
        <v>71</v>
      </c>
      <c r="F6" s="20" t="s">
        <v>166</v>
      </c>
      <c r="G6" s="20" t="s">
        <v>26</v>
      </c>
      <c r="H6" s="20" t="s">
        <v>27</v>
      </c>
      <c r="I6" s="20" t="s">
        <v>91</v>
      </c>
      <c r="J6" s="21"/>
      <c r="K6" s="20" t="s">
        <v>167</v>
      </c>
      <c r="L6" s="20" t="s">
        <v>82</v>
      </c>
      <c r="M6" s="20" t="s">
        <v>19</v>
      </c>
      <c r="N6" s="21"/>
      <c r="O6" s="20" t="s">
        <v>93</v>
      </c>
      <c r="P6" s="20" t="s">
        <v>168</v>
      </c>
      <c r="Q6" s="20" t="s">
        <v>37</v>
      </c>
      <c r="R6" s="21"/>
      <c r="S6" s="20">
        <v>325</v>
      </c>
      <c r="T6" s="20" t="str">
        <f>"309,8875"</f>
        <v>309,8875</v>
      </c>
      <c r="U6" s="20" t="s">
        <v>169</v>
      </c>
    </row>
    <row r="8" spans="1:20" ht="15">
      <c r="A8" s="47" t="s">
        <v>74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1" ht="12.75">
      <c r="A9" s="24" t="s">
        <v>170</v>
      </c>
      <c r="B9" s="24" t="s">
        <v>171</v>
      </c>
      <c r="C9" s="24" t="s">
        <v>172</v>
      </c>
      <c r="D9" s="24" t="str">
        <f>"0,7561"</f>
        <v>0,7561</v>
      </c>
      <c r="E9" s="24" t="s">
        <v>71</v>
      </c>
      <c r="F9" s="24" t="s">
        <v>173</v>
      </c>
      <c r="G9" s="25" t="s">
        <v>27</v>
      </c>
      <c r="H9" s="24" t="s">
        <v>27</v>
      </c>
      <c r="I9" s="25" t="s">
        <v>92</v>
      </c>
      <c r="J9" s="25"/>
      <c r="K9" s="24" t="s">
        <v>174</v>
      </c>
      <c r="L9" s="24" t="s">
        <v>175</v>
      </c>
      <c r="M9" s="24" t="s">
        <v>86</v>
      </c>
      <c r="N9" s="25"/>
      <c r="O9" s="24" t="s">
        <v>99</v>
      </c>
      <c r="P9" s="24" t="s">
        <v>135</v>
      </c>
      <c r="Q9" s="24" t="s">
        <v>38</v>
      </c>
      <c r="R9" s="25"/>
      <c r="S9" s="24">
        <v>350</v>
      </c>
      <c r="T9" s="24" t="str">
        <f>"264,6350"</f>
        <v>264,6350</v>
      </c>
      <c r="U9" s="24" t="s">
        <v>44</v>
      </c>
    </row>
    <row r="10" spans="1:21" ht="12.75">
      <c r="A10" s="26" t="s">
        <v>176</v>
      </c>
      <c r="B10" s="26" t="s">
        <v>177</v>
      </c>
      <c r="C10" s="26" t="s">
        <v>178</v>
      </c>
      <c r="D10" s="26" t="str">
        <f>"0,7977"</f>
        <v>0,7977</v>
      </c>
      <c r="E10" s="26" t="s">
        <v>71</v>
      </c>
      <c r="F10" s="26" t="s">
        <v>18</v>
      </c>
      <c r="G10" s="26" t="s">
        <v>26</v>
      </c>
      <c r="H10" s="26" t="s">
        <v>27</v>
      </c>
      <c r="I10" s="26" t="s">
        <v>91</v>
      </c>
      <c r="J10" s="27"/>
      <c r="K10" s="26" t="s">
        <v>179</v>
      </c>
      <c r="L10" s="26" t="s">
        <v>19</v>
      </c>
      <c r="M10" s="27" t="s">
        <v>180</v>
      </c>
      <c r="N10" s="27"/>
      <c r="O10" s="26" t="s">
        <v>91</v>
      </c>
      <c r="P10" s="26" t="s">
        <v>92</v>
      </c>
      <c r="Q10" s="26" t="s">
        <v>93</v>
      </c>
      <c r="R10" s="27"/>
      <c r="S10" s="26">
        <v>310</v>
      </c>
      <c r="T10" s="26" t="str">
        <f>"247,2870"</f>
        <v>247,2870</v>
      </c>
      <c r="U10" s="26" t="s">
        <v>44</v>
      </c>
    </row>
    <row r="12" spans="1:20" ht="15">
      <c r="A12" s="47" t="s">
        <v>67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</row>
    <row r="13" spans="1:21" ht="12.75">
      <c r="A13" s="20" t="s">
        <v>181</v>
      </c>
      <c r="B13" s="20" t="s">
        <v>182</v>
      </c>
      <c r="C13" s="20" t="s">
        <v>183</v>
      </c>
      <c r="D13" s="20" t="str">
        <f>"0,6606"</f>
        <v>0,6606</v>
      </c>
      <c r="E13" s="20" t="s">
        <v>71</v>
      </c>
      <c r="F13" s="20" t="s">
        <v>184</v>
      </c>
      <c r="G13" s="20" t="s">
        <v>185</v>
      </c>
      <c r="H13" s="20" t="s">
        <v>38</v>
      </c>
      <c r="I13" s="20" t="s">
        <v>186</v>
      </c>
      <c r="J13" s="21"/>
      <c r="K13" s="20" t="s">
        <v>187</v>
      </c>
      <c r="L13" s="21" t="s">
        <v>25</v>
      </c>
      <c r="M13" s="20" t="s">
        <v>188</v>
      </c>
      <c r="N13" s="21"/>
      <c r="O13" s="21" t="s">
        <v>111</v>
      </c>
      <c r="P13" s="20" t="s">
        <v>34</v>
      </c>
      <c r="Q13" s="20" t="s">
        <v>189</v>
      </c>
      <c r="R13" s="21"/>
      <c r="S13" s="20">
        <v>455</v>
      </c>
      <c r="T13" s="20" t="str">
        <f>"300,5730"</f>
        <v>300,5730</v>
      </c>
      <c r="U13" s="20" t="s">
        <v>44</v>
      </c>
    </row>
    <row r="15" spans="1:20" ht="15">
      <c r="A15" s="47" t="s">
        <v>126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</row>
    <row r="16" spans="1:21" ht="12.75">
      <c r="A16" s="20" t="s">
        <v>190</v>
      </c>
      <c r="B16" s="20" t="s">
        <v>191</v>
      </c>
      <c r="C16" s="20" t="s">
        <v>192</v>
      </c>
      <c r="D16" s="20" t="str">
        <f>"0,5479"</f>
        <v>0,5479</v>
      </c>
      <c r="E16" s="20" t="s">
        <v>71</v>
      </c>
      <c r="F16" s="20" t="s">
        <v>193</v>
      </c>
      <c r="G16" s="20" t="s">
        <v>194</v>
      </c>
      <c r="H16" s="20" t="s">
        <v>195</v>
      </c>
      <c r="I16" s="21" t="s">
        <v>42</v>
      </c>
      <c r="J16" s="21"/>
      <c r="K16" s="20" t="s">
        <v>130</v>
      </c>
      <c r="L16" s="21" t="s">
        <v>196</v>
      </c>
      <c r="M16" s="21" t="s">
        <v>196</v>
      </c>
      <c r="N16" s="21"/>
      <c r="O16" s="20" t="s">
        <v>197</v>
      </c>
      <c r="P16" s="20" t="s">
        <v>198</v>
      </c>
      <c r="Q16" s="21" t="s">
        <v>199</v>
      </c>
      <c r="R16" s="21"/>
      <c r="S16" s="20">
        <v>715</v>
      </c>
      <c r="T16" s="20" t="str">
        <f>"391,7485"</f>
        <v>391,7485</v>
      </c>
      <c r="U16" s="20" t="s">
        <v>44</v>
      </c>
    </row>
    <row r="18" ht="15">
      <c r="E18" s="22" t="s">
        <v>45</v>
      </c>
    </row>
    <row r="19" ht="15">
      <c r="E19" s="22" t="s">
        <v>46</v>
      </c>
    </row>
    <row r="20" ht="15">
      <c r="E20" s="22" t="s">
        <v>47</v>
      </c>
    </row>
    <row r="21" ht="15">
      <c r="E21" s="22" t="s">
        <v>48</v>
      </c>
    </row>
    <row r="22" ht="15">
      <c r="E22" s="22" t="s">
        <v>48</v>
      </c>
    </row>
    <row r="23" ht="15">
      <c r="E23" s="22" t="s">
        <v>49</v>
      </c>
    </row>
    <row r="24" ht="15">
      <c r="E24" s="22"/>
    </row>
    <row r="26" spans="1:2" ht="18">
      <c r="A26" s="23" t="s">
        <v>50</v>
      </c>
      <c r="B26" s="23"/>
    </row>
    <row r="27" spans="1:2" ht="15">
      <c r="A27" s="30" t="s">
        <v>51</v>
      </c>
      <c r="B27" s="30"/>
    </row>
    <row r="28" spans="1:2" ht="14.25">
      <c r="A28" s="32" t="s">
        <v>62</v>
      </c>
      <c r="B28" s="33"/>
    </row>
    <row r="29" spans="1:5" ht="15">
      <c r="A29" s="34" t="s">
        <v>53</v>
      </c>
      <c r="B29" s="34" t="s">
        <v>54</v>
      </c>
      <c r="C29" s="34" t="s">
        <v>55</v>
      </c>
      <c r="D29" s="34" t="s">
        <v>56</v>
      </c>
      <c r="E29" s="34" t="s">
        <v>57</v>
      </c>
    </row>
    <row r="30" spans="1:5" ht="12.75">
      <c r="A30" s="31" t="s">
        <v>163</v>
      </c>
      <c r="B30" s="19" t="s">
        <v>63</v>
      </c>
      <c r="C30" s="19" t="s">
        <v>143</v>
      </c>
      <c r="D30" s="19" t="s">
        <v>200</v>
      </c>
      <c r="E30" s="35" t="s">
        <v>201</v>
      </c>
    </row>
    <row r="33" spans="1:2" ht="15">
      <c r="A33" s="30" t="s">
        <v>61</v>
      </c>
      <c r="B33" s="30"/>
    </row>
    <row r="34" spans="1:2" ht="14.25">
      <c r="A34" s="32" t="s">
        <v>139</v>
      </c>
      <c r="B34" s="33"/>
    </row>
    <row r="35" spans="1:5" ht="15">
      <c r="A35" s="34" t="s">
        <v>53</v>
      </c>
      <c r="B35" s="34" t="s">
        <v>54</v>
      </c>
      <c r="C35" s="34" t="s">
        <v>55</v>
      </c>
      <c r="D35" s="34" t="s">
        <v>56</v>
      </c>
      <c r="E35" s="34" t="s">
        <v>57</v>
      </c>
    </row>
    <row r="36" spans="1:5" ht="12.75">
      <c r="A36" s="31" t="s">
        <v>170</v>
      </c>
      <c r="B36" s="19" t="s">
        <v>140</v>
      </c>
      <c r="C36" s="19" t="s">
        <v>143</v>
      </c>
      <c r="D36" s="19" t="s">
        <v>202</v>
      </c>
      <c r="E36" s="35" t="s">
        <v>203</v>
      </c>
    </row>
    <row r="38" spans="1:2" ht="14.25">
      <c r="A38" s="32" t="s">
        <v>62</v>
      </c>
      <c r="B38" s="33"/>
    </row>
    <row r="39" spans="1:5" ht="15">
      <c r="A39" s="34" t="s">
        <v>53</v>
      </c>
      <c r="B39" s="34" t="s">
        <v>54</v>
      </c>
      <c r="C39" s="34" t="s">
        <v>55</v>
      </c>
      <c r="D39" s="34" t="s">
        <v>56</v>
      </c>
      <c r="E39" s="34" t="s">
        <v>57</v>
      </c>
    </row>
    <row r="40" spans="1:5" ht="12.75">
      <c r="A40" s="31" t="s">
        <v>181</v>
      </c>
      <c r="B40" s="19" t="s">
        <v>63</v>
      </c>
      <c r="C40" s="19" t="s">
        <v>148</v>
      </c>
      <c r="D40" s="19" t="s">
        <v>204</v>
      </c>
      <c r="E40" s="35" t="s">
        <v>205</v>
      </c>
    </row>
    <row r="41" spans="1:5" ht="12.75">
      <c r="A41" s="31" t="s">
        <v>176</v>
      </c>
      <c r="B41" s="19" t="s">
        <v>63</v>
      </c>
      <c r="C41" s="19" t="s">
        <v>143</v>
      </c>
      <c r="D41" s="19" t="s">
        <v>206</v>
      </c>
      <c r="E41" s="35" t="s">
        <v>207</v>
      </c>
    </row>
    <row r="43" spans="1:2" ht="14.25">
      <c r="A43" s="32" t="s">
        <v>52</v>
      </c>
      <c r="B43" s="33"/>
    </row>
    <row r="44" spans="1:5" ht="15">
      <c r="A44" s="34" t="s">
        <v>53</v>
      </c>
      <c r="B44" s="34" t="s">
        <v>54</v>
      </c>
      <c r="C44" s="34" t="s">
        <v>55</v>
      </c>
      <c r="D44" s="34" t="s">
        <v>56</v>
      </c>
      <c r="E44" s="34" t="s">
        <v>57</v>
      </c>
    </row>
    <row r="45" spans="1:5" ht="12.75">
      <c r="A45" s="31" t="s">
        <v>190</v>
      </c>
      <c r="B45" s="19" t="s">
        <v>161</v>
      </c>
      <c r="C45" s="19" t="s">
        <v>145</v>
      </c>
      <c r="D45" s="19" t="s">
        <v>208</v>
      </c>
      <c r="E45" s="35" t="s">
        <v>209</v>
      </c>
    </row>
  </sheetData>
  <sheetProtection/>
  <mergeCells count="17">
    <mergeCell ref="A15:T15"/>
    <mergeCell ref="S3:S4"/>
    <mergeCell ref="T3:T4"/>
    <mergeCell ref="U3:U4"/>
    <mergeCell ref="A5:T5"/>
    <mergeCell ref="A8:T8"/>
    <mergeCell ref="A12:T12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24.75390625" style="19" bestFit="1" customWidth="1"/>
    <col min="2" max="2" width="26.625" style="19" bestFit="1" customWidth="1"/>
    <col min="3" max="3" width="10.125" style="19" bestFit="1" customWidth="1"/>
    <col min="4" max="4" width="8.25390625" style="19" bestFit="1" customWidth="1"/>
    <col min="5" max="5" width="21.75390625" style="19" bestFit="1" customWidth="1"/>
    <col min="6" max="6" width="36.875" style="19" bestFit="1" customWidth="1"/>
    <col min="7" max="9" width="5.625" style="19" bestFit="1" customWidth="1"/>
    <col min="10" max="10" width="4.25390625" style="19" bestFit="1" customWidth="1"/>
    <col min="11" max="11" width="7.75390625" style="19" bestFit="1" customWidth="1"/>
    <col min="12" max="12" width="8.625" style="19" bestFit="1" customWidth="1"/>
    <col min="13" max="13" width="12.25390625" style="19" bestFit="1" customWidth="1"/>
  </cols>
  <sheetData>
    <row r="1" spans="1:13" s="1" customFormat="1" ht="15" customHeight="1">
      <c r="A1" s="36" t="s">
        <v>696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1" customFormat="1" ht="81.7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2" customFormat="1" ht="12.75" customHeight="1">
      <c r="A3" s="42" t="s">
        <v>0</v>
      </c>
      <c r="B3" s="44" t="s">
        <v>12</v>
      </c>
      <c r="C3" s="46" t="s">
        <v>5</v>
      </c>
      <c r="D3" s="46" t="s">
        <v>10</v>
      </c>
      <c r="E3" s="46" t="s">
        <v>8</v>
      </c>
      <c r="F3" s="46" t="s">
        <v>11</v>
      </c>
      <c r="G3" s="46" t="s">
        <v>2</v>
      </c>
      <c r="H3" s="46"/>
      <c r="I3" s="46"/>
      <c r="J3" s="46"/>
      <c r="K3" s="46" t="s">
        <v>4</v>
      </c>
      <c r="L3" s="46" t="s">
        <v>7</v>
      </c>
      <c r="M3" s="48" t="s">
        <v>6</v>
      </c>
    </row>
    <row r="4" spans="1:13" s="2" customFormat="1" ht="21" customHeight="1" thickBot="1">
      <c r="A4" s="43"/>
      <c r="B4" s="45"/>
      <c r="C4" s="45"/>
      <c r="D4" s="45"/>
      <c r="E4" s="45"/>
      <c r="F4" s="45"/>
      <c r="G4" s="3">
        <v>1</v>
      </c>
      <c r="H4" s="3">
        <v>2</v>
      </c>
      <c r="I4" s="3">
        <v>3</v>
      </c>
      <c r="J4" s="3" t="s">
        <v>9</v>
      </c>
      <c r="K4" s="45"/>
      <c r="L4" s="45"/>
      <c r="M4" s="49"/>
    </row>
    <row r="5" spans="1:12" ht="15">
      <c r="A5" s="50" t="s">
        <v>74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12.75">
      <c r="A6" s="20" t="s">
        <v>75</v>
      </c>
      <c r="B6" s="20" t="s">
        <v>76</v>
      </c>
      <c r="C6" s="20" t="s">
        <v>77</v>
      </c>
      <c r="D6" s="20" t="str">
        <f>"0,7786"</f>
        <v>0,7786</v>
      </c>
      <c r="E6" s="20" t="s">
        <v>78</v>
      </c>
      <c r="F6" s="20" t="s">
        <v>79</v>
      </c>
      <c r="G6" s="20" t="s">
        <v>81</v>
      </c>
      <c r="H6" s="21" t="s">
        <v>82</v>
      </c>
      <c r="I6" s="21" t="s">
        <v>82</v>
      </c>
      <c r="J6" s="21"/>
      <c r="K6" s="20">
        <v>60</v>
      </c>
      <c r="L6" s="20" t="str">
        <f>"46,7160"</f>
        <v>46,7160</v>
      </c>
      <c r="M6" s="20" t="s">
        <v>44</v>
      </c>
    </row>
    <row r="8" spans="1:12" ht="15">
      <c r="A8" s="47" t="s">
        <v>13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3" ht="12.75">
      <c r="A9" s="20" t="s">
        <v>83</v>
      </c>
      <c r="B9" s="20" t="s">
        <v>84</v>
      </c>
      <c r="C9" s="20" t="s">
        <v>85</v>
      </c>
      <c r="D9" s="20" t="str">
        <f>"0,7099"</f>
        <v>0,7099</v>
      </c>
      <c r="E9" s="20" t="s">
        <v>78</v>
      </c>
      <c r="F9" s="20" t="s">
        <v>79</v>
      </c>
      <c r="G9" s="21" t="s">
        <v>86</v>
      </c>
      <c r="H9" s="20" t="s">
        <v>86</v>
      </c>
      <c r="I9" s="21"/>
      <c r="J9" s="21"/>
      <c r="K9" s="20">
        <v>90</v>
      </c>
      <c r="L9" s="20" t="str">
        <f>"63,8906"</f>
        <v>63,8906</v>
      </c>
      <c r="M9" s="20" t="s">
        <v>44</v>
      </c>
    </row>
    <row r="11" spans="1:12" ht="15">
      <c r="A11" s="47" t="s">
        <v>67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</row>
    <row r="12" spans="1:13" ht="12.75">
      <c r="A12" s="24" t="s">
        <v>87</v>
      </c>
      <c r="B12" s="24" t="s">
        <v>88</v>
      </c>
      <c r="C12" s="24" t="s">
        <v>89</v>
      </c>
      <c r="D12" s="24" t="str">
        <f>"0,6832"</f>
        <v>0,6832</v>
      </c>
      <c r="E12" s="24" t="s">
        <v>71</v>
      </c>
      <c r="F12" s="24" t="s">
        <v>90</v>
      </c>
      <c r="G12" s="24" t="s">
        <v>91</v>
      </c>
      <c r="H12" s="24" t="s">
        <v>92</v>
      </c>
      <c r="I12" s="25" t="s">
        <v>93</v>
      </c>
      <c r="J12" s="25"/>
      <c r="K12" s="24">
        <v>120</v>
      </c>
      <c r="L12" s="24" t="str">
        <f>"81,9840"</f>
        <v>81,9840</v>
      </c>
      <c r="M12" s="24" t="s">
        <v>44</v>
      </c>
    </row>
    <row r="13" spans="1:13" ht="12.75">
      <c r="A13" s="26" t="s">
        <v>68</v>
      </c>
      <c r="B13" s="26" t="s">
        <v>69</v>
      </c>
      <c r="C13" s="26" t="s">
        <v>70</v>
      </c>
      <c r="D13" s="26" t="str">
        <f>"0,6508"</f>
        <v>0,6508</v>
      </c>
      <c r="E13" s="26" t="s">
        <v>71</v>
      </c>
      <c r="F13" s="26" t="s">
        <v>72</v>
      </c>
      <c r="G13" s="26" t="s">
        <v>94</v>
      </c>
      <c r="H13" s="26" t="s">
        <v>27</v>
      </c>
      <c r="I13" s="27" t="s">
        <v>93</v>
      </c>
      <c r="J13" s="27"/>
      <c r="K13" s="26">
        <v>110</v>
      </c>
      <c r="L13" s="26" t="str">
        <f>"71,5880"</f>
        <v>71,5880</v>
      </c>
      <c r="M13" s="26" t="s">
        <v>44</v>
      </c>
    </row>
    <row r="15" spans="1:12" ht="15">
      <c r="A15" s="47" t="s">
        <v>95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</row>
    <row r="16" spans="1:13" ht="12.75">
      <c r="A16" s="20" t="s">
        <v>96</v>
      </c>
      <c r="B16" s="20" t="s">
        <v>97</v>
      </c>
      <c r="C16" s="20" t="s">
        <v>98</v>
      </c>
      <c r="D16" s="20" t="str">
        <f>"0,7778"</f>
        <v>0,7778</v>
      </c>
      <c r="E16" s="20" t="s">
        <v>78</v>
      </c>
      <c r="F16" s="20" t="s">
        <v>79</v>
      </c>
      <c r="G16" s="21" t="s">
        <v>92</v>
      </c>
      <c r="H16" s="20" t="s">
        <v>92</v>
      </c>
      <c r="I16" s="20" t="s">
        <v>99</v>
      </c>
      <c r="J16" s="21"/>
      <c r="K16" s="20">
        <v>130</v>
      </c>
      <c r="L16" s="20" t="str">
        <f>"101,1158"</f>
        <v>101,1158</v>
      </c>
      <c r="M16" s="20" t="s">
        <v>44</v>
      </c>
    </row>
    <row r="18" spans="1:12" ht="15">
      <c r="A18" s="47" t="s">
        <v>100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1:13" ht="12.75">
      <c r="A19" s="24" t="s">
        <v>101</v>
      </c>
      <c r="B19" s="24" t="s">
        <v>102</v>
      </c>
      <c r="C19" s="24" t="s">
        <v>103</v>
      </c>
      <c r="D19" s="24" t="str">
        <f>"0,7819"</f>
        <v>0,7819</v>
      </c>
      <c r="E19" s="24" t="s">
        <v>78</v>
      </c>
      <c r="F19" s="24" t="s">
        <v>18</v>
      </c>
      <c r="G19" s="24" t="s">
        <v>104</v>
      </c>
      <c r="H19" s="24" t="s">
        <v>73</v>
      </c>
      <c r="I19" s="25" t="s">
        <v>105</v>
      </c>
      <c r="J19" s="25"/>
      <c r="K19" s="24">
        <v>180</v>
      </c>
      <c r="L19" s="24" t="str">
        <f>"140,7418"</f>
        <v>140,7418</v>
      </c>
      <c r="M19" s="24" t="s">
        <v>44</v>
      </c>
    </row>
    <row r="20" spans="1:13" ht="12.75">
      <c r="A20" s="26" t="s">
        <v>106</v>
      </c>
      <c r="B20" s="26" t="s">
        <v>107</v>
      </c>
      <c r="C20" s="26" t="s">
        <v>108</v>
      </c>
      <c r="D20" s="26" t="str">
        <f>"0,7952"</f>
        <v>0,7952</v>
      </c>
      <c r="E20" s="26" t="s">
        <v>71</v>
      </c>
      <c r="F20" s="26" t="s">
        <v>109</v>
      </c>
      <c r="G20" s="26" t="s">
        <v>110</v>
      </c>
      <c r="H20" s="26" t="s">
        <v>111</v>
      </c>
      <c r="I20" s="27" t="s">
        <v>80</v>
      </c>
      <c r="J20" s="27"/>
      <c r="K20" s="26">
        <v>195</v>
      </c>
      <c r="L20" s="26" t="str">
        <f>"155,0685"</f>
        <v>155,0685</v>
      </c>
      <c r="M20" s="26" t="s">
        <v>44</v>
      </c>
    </row>
    <row r="22" spans="1:12" ht="15">
      <c r="A22" s="47" t="s">
        <v>30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pans="1:13" ht="12.75">
      <c r="A23" s="24" t="s">
        <v>112</v>
      </c>
      <c r="B23" s="24" t="s">
        <v>113</v>
      </c>
      <c r="C23" s="24" t="s">
        <v>114</v>
      </c>
      <c r="D23" s="24" t="str">
        <f>"0,5634"</f>
        <v>0,5634</v>
      </c>
      <c r="E23" s="24" t="s">
        <v>71</v>
      </c>
      <c r="F23" s="24" t="s">
        <v>18</v>
      </c>
      <c r="G23" s="24" t="s">
        <v>86</v>
      </c>
      <c r="H23" s="24" t="s">
        <v>25</v>
      </c>
      <c r="I23" s="24" t="s">
        <v>94</v>
      </c>
      <c r="J23" s="25"/>
      <c r="K23" s="24">
        <v>100</v>
      </c>
      <c r="L23" s="24" t="str">
        <f>"56,3350"</f>
        <v>56,3350</v>
      </c>
      <c r="M23" s="24" t="s">
        <v>44</v>
      </c>
    </row>
    <row r="24" spans="1:13" ht="12.75">
      <c r="A24" s="28" t="s">
        <v>115</v>
      </c>
      <c r="B24" s="28" t="s">
        <v>116</v>
      </c>
      <c r="C24" s="28" t="s">
        <v>117</v>
      </c>
      <c r="D24" s="28" t="str">
        <f>"0,5641"</f>
        <v>0,5641</v>
      </c>
      <c r="E24" s="28" t="s">
        <v>71</v>
      </c>
      <c r="F24" s="28" t="s">
        <v>18</v>
      </c>
      <c r="G24" s="28" t="s">
        <v>118</v>
      </c>
      <c r="H24" s="29" t="s">
        <v>119</v>
      </c>
      <c r="I24" s="29" t="s">
        <v>119</v>
      </c>
      <c r="J24" s="29"/>
      <c r="K24" s="28">
        <v>160</v>
      </c>
      <c r="L24" s="28" t="str">
        <f>"90,2480"</f>
        <v>90,2480</v>
      </c>
      <c r="M24" s="28" t="s">
        <v>44</v>
      </c>
    </row>
    <row r="25" spans="1:13" ht="12.75">
      <c r="A25" s="26" t="s">
        <v>120</v>
      </c>
      <c r="B25" s="26" t="s">
        <v>121</v>
      </c>
      <c r="C25" s="26" t="s">
        <v>122</v>
      </c>
      <c r="D25" s="26" t="str">
        <f>"0,7178"</f>
        <v>0,7178</v>
      </c>
      <c r="E25" s="26" t="s">
        <v>71</v>
      </c>
      <c r="F25" s="26" t="s">
        <v>123</v>
      </c>
      <c r="G25" s="26" t="s">
        <v>38</v>
      </c>
      <c r="H25" s="26" t="s">
        <v>118</v>
      </c>
      <c r="I25" s="26" t="s">
        <v>124</v>
      </c>
      <c r="J25" s="27"/>
      <c r="K25" s="26">
        <v>165</v>
      </c>
      <c r="L25" s="26" t="str">
        <f>"118,4301"</f>
        <v>118,4301</v>
      </c>
      <c r="M25" s="26" t="s">
        <v>125</v>
      </c>
    </row>
    <row r="27" spans="1:12" ht="15">
      <c r="A27" s="47" t="s">
        <v>126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</row>
    <row r="28" spans="1:13" ht="12.75">
      <c r="A28" s="24" t="s">
        <v>127</v>
      </c>
      <c r="B28" s="24" t="s">
        <v>128</v>
      </c>
      <c r="C28" s="24" t="s">
        <v>129</v>
      </c>
      <c r="D28" s="24" t="str">
        <f>"0,5602"</f>
        <v>0,5602</v>
      </c>
      <c r="E28" s="24" t="s">
        <v>71</v>
      </c>
      <c r="F28" s="24" t="s">
        <v>18</v>
      </c>
      <c r="G28" s="24" t="s">
        <v>130</v>
      </c>
      <c r="H28" s="24" t="s">
        <v>73</v>
      </c>
      <c r="I28" s="25"/>
      <c r="J28" s="25"/>
      <c r="K28" s="24">
        <v>180</v>
      </c>
      <c r="L28" s="24" t="str">
        <f>"100,8360"</f>
        <v>100,8360</v>
      </c>
      <c r="M28" s="24" t="s">
        <v>44</v>
      </c>
    </row>
    <row r="29" spans="1:13" ht="12.75">
      <c r="A29" s="28" t="s">
        <v>131</v>
      </c>
      <c r="B29" s="28" t="s">
        <v>132</v>
      </c>
      <c r="C29" s="28" t="s">
        <v>133</v>
      </c>
      <c r="D29" s="28" t="str">
        <f>"0,6088"</f>
        <v>0,6088</v>
      </c>
      <c r="E29" s="28" t="s">
        <v>78</v>
      </c>
      <c r="F29" s="28" t="s">
        <v>79</v>
      </c>
      <c r="G29" s="28" t="s">
        <v>134</v>
      </c>
      <c r="H29" s="28" t="s">
        <v>37</v>
      </c>
      <c r="I29" s="28" t="s">
        <v>135</v>
      </c>
      <c r="J29" s="29"/>
      <c r="K29" s="28">
        <v>142.5</v>
      </c>
      <c r="L29" s="28" t="str">
        <f>"86,7476"</f>
        <v>86,7476</v>
      </c>
      <c r="M29" s="28" t="s">
        <v>44</v>
      </c>
    </row>
    <row r="30" spans="1:13" ht="12.75">
      <c r="A30" s="26" t="s">
        <v>136</v>
      </c>
      <c r="B30" s="26" t="s">
        <v>137</v>
      </c>
      <c r="C30" s="26" t="s">
        <v>138</v>
      </c>
      <c r="D30" s="26" t="str">
        <f>"0,6965"</f>
        <v>0,6965</v>
      </c>
      <c r="E30" s="26" t="s">
        <v>78</v>
      </c>
      <c r="F30" s="26" t="s">
        <v>18</v>
      </c>
      <c r="G30" s="27" t="s">
        <v>25</v>
      </c>
      <c r="H30" s="26" t="s">
        <v>25</v>
      </c>
      <c r="I30" s="26" t="s">
        <v>94</v>
      </c>
      <c r="J30" s="27"/>
      <c r="K30" s="26">
        <v>100</v>
      </c>
      <c r="L30" s="26" t="str">
        <f>"69,6514"</f>
        <v>69,6514</v>
      </c>
      <c r="M30" s="26" t="s">
        <v>44</v>
      </c>
    </row>
    <row r="32" ht="15">
      <c r="E32" s="22" t="s">
        <v>45</v>
      </c>
    </row>
    <row r="33" ht="15">
      <c r="E33" s="22" t="s">
        <v>46</v>
      </c>
    </row>
    <row r="34" ht="15">
      <c r="E34" s="22" t="s">
        <v>47</v>
      </c>
    </row>
    <row r="35" ht="15">
      <c r="E35" s="22" t="s">
        <v>48</v>
      </c>
    </row>
    <row r="36" ht="15">
      <c r="E36" s="22" t="s">
        <v>48</v>
      </c>
    </row>
    <row r="37" ht="15">
      <c r="E37" s="22" t="s">
        <v>49</v>
      </c>
    </row>
    <row r="38" ht="15">
      <c r="E38" s="22"/>
    </row>
    <row r="40" spans="1:2" ht="18">
      <c r="A40" s="23" t="s">
        <v>50</v>
      </c>
      <c r="B40" s="23"/>
    </row>
    <row r="41" spans="1:2" ht="15">
      <c r="A41" s="30" t="s">
        <v>61</v>
      </c>
      <c r="B41" s="30"/>
    </row>
    <row r="42" spans="1:2" ht="14.25">
      <c r="A42" s="32" t="s">
        <v>139</v>
      </c>
      <c r="B42" s="33"/>
    </row>
    <row r="43" spans="1:5" ht="15">
      <c r="A43" s="34" t="s">
        <v>53</v>
      </c>
      <c r="B43" s="34" t="s">
        <v>54</v>
      </c>
      <c r="C43" s="34" t="s">
        <v>55</v>
      </c>
      <c r="D43" s="34" t="s">
        <v>56</v>
      </c>
      <c r="E43" s="34" t="s">
        <v>57</v>
      </c>
    </row>
    <row r="44" spans="1:5" ht="12.75">
      <c r="A44" s="31" t="s">
        <v>112</v>
      </c>
      <c r="B44" s="19" t="s">
        <v>140</v>
      </c>
      <c r="C44" s="19" t="s">
        <v>64</v>
      </c>
      <c r="D44" s="19" t="s">
        <v>94</v>
      </c>
      <c r="E44" s="35" t="s">
        <v>141</v>
      </c>
    </row>
    <row r="45" spans="1:5" ht="12.75">
      <c r="A45" s="31" t="s">
        <v>75</v>
      </c>
      <c r="B45" s="19" t="s">
        <v>142</v>
      </c>
      <c r="C45" s="19" t="s">
        <v>143</v>
      </c>
      <c r="D45" s="19" t="s">
        <v>81</v>
      </c>
      <c r="E45" s="35" t="s">
        <v>144</v>
      </c>
    </row>
    <row r="47" spans="1:2" ht="14.25">
      <c r="A47" s="32" t="s">
        <v>62</v>
      </c>
      <c r="B47" s="33"/>
    </row>
    <row r="48" spans="1:5" ht="15">
      <c r="A48" s="34" t="s">
        <v>53</v>
      </c>
      <c r="B48" s="34" t="s">
        <v>54</v>
      </c>
      <c r="C48" s="34" t="s">
        <v>55</v>
      </c>
      <c r="D48" s="34" t="s">
        <v>56</v>
      </c>
      <c r="E48" s="34" t="s">
        <v>57</v>
      </c>
    </row>
    <row r="49" spans="1:5" ht="12.75">
      <c r="A49" s="31" t="s">
        <v>127</v>
      </c>
      <c r="B49" s="19" t="s">
        <v>63</v>
      </c>
      <c r="C49" s="19" t="s">
        <v>145</v>
      </c>
      <c r="D49" s="19" t="s">
        <v>73</v>
      </c>
      <c r="E49" s="35" t="s">
        <v>146</v>
      </c>
    </row>
    <row r="50" spans="1:5" ht="12.75">
      <c r="A50" s="31" t="s">
        <v>115</v>
      </c>
      <c r="B50" s="19" t="s">
        <v>63</v>
      </c>
      <c r="C50" s="19" t="s">
        <v>64</v>
      </c>
      <c r="D50" s="19" t="s">
        <v>118</v>
      </c>
      <c r="E50" s="35" t="s">
        <v>147</v>
      </c>
    </row>
    <row r="51" spans="1:5" ht="12.75">
      <c r="A51" s="31" t="s">
        <v>87</v>
      </c>
      <c r="B51" s="19" t="s">
        <v>63</v>
      </c>
      <c r="C51" s="19" t="s">
        <v>148</v>
      </c>
      <c r="D51" s="19" t="s">
        <v>92</v>
      </c>
      <c r="E51" s="35" t="s">
        <v>149</v>
      </c>
    </row>
    <row r="52" spans="1:5" ht="12.75">
      <c r="A52" s="31" t="s">
        <v>68</v>
      </c>
      <c r="B52" s="19" t="s">
        <v>63</v>
      </c>
      <c r="C52" s="19" t="s">
        <v>148</v>
      </c>
      <c r="D52" s="19" t="s">
        <v>27</v>
      </c>
      <c r="E52" s="35" t="s">
        <v>150</v>
      </c>
    </row>
    <row r="54" spans="1:2" ht="14.25">
      <c r="A54" s="32" t="s">
        <v>52</v>
      </c>
      <c r="B54" s="33"/>
    </row>
    <row r="55" spans="1:5" ht="15">
      <c r="A55" s="34" t="s">
        <v>53</v>
      </c>
      <c r="B55" s="34" t="s">
        <v>54</v>
      </c>
      <c r="C55" s="34" t="s">
        <v>55</v>
      </c>
      <c r="D55" s="34" t="s">
        <v>56</v>
      </c>
      <c r="E55" s="34" t="s">
        <v>57</v>
      </c>
    </row>
    <row r="56" spans="1:5" ht="12.75">
      <c r="A56" s="31" t="s">
        <v>106</v>
      </c>
      <c r="B56" s="19" t="s">
        <v>151</v>
      </c>
      <c r="C56" s="19" t="s">
        <v>152</v>
      </c>
      <c r="D56" s="19" t="s">
        <v>111</v>
      </c>
      <c r="E56" s="35" t="s">
        <v>153</v>
      </c>
    </row>
    <row r="57" spans="1:5" ht="12.75">
      <c r="A57" s="31" t="s">
        <v>101</v>
      </c>
      <c r="B57" s="19" t="s">
        <v>154</v>
      </c>
      <c r="C57" s="19" t="s">
        <v>152</v>
      </c>
      <c r="D57" s="19" t="s">
        <v>73</v>
      </c>
      <c r="E57" s="35" t="s">
        <v>155</v>
      </c>
    </row>
    <row r="58" spans="1:5" ht="12.75">
      <c r="A58" s="31" t="s">
        <v>120</v>
      </c>
      <c r="B58" s="19" t="s">
        <v>154</v>
      </c>
      <c r="C58" s="19" t="s">
        <v>64</v>
      </c>
      <c r="D58" s="19" t="s">
        <v>124</v>
      </c>
      <c r="E58" s="35" t="s">
        <v>156</v>
      </c>
    </row>
    <row r="59" spans="1:5" ht="12.75">
      <c r="A59" s="31" t="s">
        <v>96</v>
      </c>
      <c r="B59" s="19" t="s">
        <v>154</v>
      </c>
      <c r="C59" s="19" t="s">
        <v>157</v>
      </c>
      <c r="D59" s="19" t="s">
        <v>99</v>
      </c>
      <c r="E59" s="35" t="s">
        <v>158</v>
      </c>
    </row>
    <row r="60" spans="1:5" ht="12.75">
      <c r="A60" s="31" t="s">
        <v>131</v>
      </c>
      <c r="B60" s="19" t="s">
        <v>58</v>
      </c>
      <c r="C60" s="19" t="s">
        <v>145</v>
      </c>
      <c r="D60" s="19" t="s">
        <v>135</v>
      </c>
      <c r="E60" s="35" t="s">
        <v>159</v>
      </c>
    </row>
    <row r="61" spans="1:5" ht="12.75">
      <c r="A61" s="31" t="s">
        <v>136</v>
      </c>
      <c r="B61" s="19" t="s">
        <v>154</v>
      </c>
      <c r="C61" s="19" t="s">
        <v>145</v>
      </c>
      <c r="D61" s="19" t="s">
        <v>94</v>
      </c>
      <c r="E61" s="35" t="s">
        <v>160</v>
      </c>
    </row>
    <row r="62" spans="1:5" ht="12.75">
      <c r="A62" s="31" t="s">
        <v>83</v>
      </c>
      <c r="B62" s="19" t="s">
        <v>161</v>
      </c>
      <c r="C62" s="19" t="s">
        <v>59</v>
      </c>
      <c r="D62" s="19" t="s">
        <v>86</v>
      </c>
      <c r="E62" s="35" t="s">
        <v>162</v>
      </c>
    </row>
  </sheetData>
  <sheetProtection/>
  <mergeCells count="18">
    <mergeCell ref="A15:L15"/>
    <mergeCell ref="A18:L18"/>
    <mergeCell ref="A22:L22"/>
    <mergeCell ref="A27:L27"/>
    <mergeCell ref="K3:K4"/>
    <mergeCell ref="L3:L4"/>
    <mergeCell ref="F3:F4"/>
    <mergeCell ref="G3:J3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24.75390625" style="19" bestFit="1" customWidth="1"/>
    <col min="2" max="2" width="20.875" style="19" bestFit="1" customWidth="1"/>
    <col min="3" max="3" width="10.125" style="19" bestFit="1" customWidth="1"/>
    <col min="4" max="4" width="8.25390625" style="19" bestFit="1" customWidth="1"/>
    <col min="5" max="5" width="21.75390625" style="19" bestFit="1" customWidth="1"/>
    <col min="6" max="6" width="25.875" style="19" bestFit="1" customWidth="1"/>
    <col min="7" max="9" width="5.625" style="19" bestFit="1" customWidth="1"/>
    <col min="10" max="10" width="4.25390625" style="19" bestFit="1" customWidth="1"/>
    <col min="11" max="11" width="7.75390625" style="19" bestFit="1" customWidth="1"/>
    <col min="12" max="12" width="8.625" style="19" bestFit="1" customWidth="1"/>
    <col min="13" max="13" width="8.25390625" style="19" bestFit="1" customWidth="1"/>
  </cols>
  <sheetData>
    <row r="1" spans="1:13" s="1" customFormat="1" ht="15" customHeight="1">
      <c r="A1" s="36" t="s">
        <v>697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1" customFormat="1" ht="81.7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2" customFormat="1" ht="12.75" customHeight="1">
      <c r="A3" s="42" t="s">
        <v>0</v>
      </c>
      <c r="B3" s="44" t="s">
        <v>12</v>
      </c>
      <c r="C3" s="46" t="s">
        <v>5</v>
      </c>
      <c r="D3" s="46" t="s">
        <v>10</v>
      </c>
      <c r="E3" s="46" t="s">
        <v>8</v>
      </c>
      <c r="F3" s="46" t="s">
        <v>11</v>
      </c>
      <c r="G3" s="46" t="s">
        <v>2</v>
      </c>
      <c r="H3" s="46"/>
      <c r="I3" s="46"/>
      <c r="J3" s="46"/>
      <c r="K3" s="46" t="s">
        <v>4</v>
      </c>
      <c r="L3" s="46" t="s">
        <v>7</v>
      </c>
      <c r="M3" s="48" t="s">
        <v>6</v>
      </c>
    </row>
    <row r="4" spans="1:13" s="2" customFormat="1" ht="21" customHeight="1" thickBot="1">
      <c r="A4" s="43"/>
      <c r="B4" s="45"/>
      <c r="C4" s="45"/>
      <c r="D4" s="45"/>
      <c r="E4" s="45"/>
      <c r="F4" s="45"/>
      <c r="G4" s="3">
        <v>1</v>
      </c>
      <c r="H4" s="3">
        <v>2</v>
      </c>
      <c r="I4" s="3">
        <v>3</v>
      </c>
      <c r="J4" s="3" t="s">
        <v>9</v>
      </c>
      <c r="K4" s="45"/>
      <c r="L4" s="45"/>
      <c r="M4" s="49"/>
    </row>
    <row r="5" spans="1:12" ht="15">
      <c r="A5" s="50" t="s">
        <v>100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12.75">
      <c r="A6" s="24" t="s">
        <v>563</v>
      </c>
      <c r="B6" s="24" t="s">
        <v>564</v>
      </c>
      <c r="C6" s="24" t="s">
        <v>565</v>
      </c>
      <c r="D6" s="24" t="str">
        <f>"0,5823"</f>
        <v>0,5823</v>
      </c>
      <c r="E6" s="24" t="s">
        <v>71</v>
      </c>
      <c r="F6" s="24" t="s">
        <v>72</v>
      </c>
      <c r="G6" s="24" t="s">
        <v>197</v>
      </c>
      <c r="H6" s="24" t="s">
        <v>198</v>
      </c>
      <c r="I6" s="25" t="s">
        <v>199</v>
      </c>
      <c r="J6" s="25"/>
      <c r="K6" s="24">
        <v>290</v>
      </c>
      <c r="L6" s="24" t="str">
        <f>"168,8670"</f>
        <v>168,8670</v>
      </c>
      <c r="M6" s="24" t="s">
        <v>44</v>
      </c>
    </row>
    <row r="7" spans="1:13" ht="12.75">
      <c r="A7" s="26" t="s">
        <v>566</v>
      </c>
      <c r="B7" s="26" t="s">
        <v>567</v>
      </c>
      <c r="C7" s="26" t="s">
        <v>568</v>
      </c>
      <c r="D7" s="26" t="str">
        <f>"0,5871"</f>
        <v>0,5871</v>
      </c>
      <c r="E7" s="26" t="s">
        <v>71</v>
      </c>
      <c r="F7" s="26" t="s">
        <v>569</v>
      </c>
      <c r="G7" s="27" t="s">
        <v>189</v>
      </c>
      <c r="H7" s="26" t="s">
        <v>189</v>
      </c>
      <c r="I7" s="27" t="s">
        <v>494</v>
      </c>
      <c r="J7" s="27"/>
      <c r="K7" s="26">
        <v>205</v>
      </c>
      <c r="L7" s="26" t="str">
        <f>"120,3657"</f>
        <v>120,3657</v>
      </c>
      <c r="M7" s="26" t="s">
        <v>44</v>
      </c>
    </row>
    <row r="9" ht="15">
      <c r="E9" s="22" t="s">
        <v>45</v>
      </c>
    </row>
    <row r="10" ht="15">
      <c r="E10" s="22" t="s">
        <v>46</v>
      </c>
    </row>
    <row r="11" ht="15">
      <c r="E11" s="22" t="s">
        <v>47</v>
      </c>
    </row>
    <row r="12" ht="15">
      <c r="E12" s="22" t="s">
        <v>48</v>
      </c>
    </row>
    <row r="13" ht="15">
      <c r="E13" s="22" t="s">
        <v>48</v>
      </c>
    </row>
    <row r="14" ht="15">
      <c r="E14" s="22" t="s">
        <v>49</v>
      </c>
    </row>
    <row r="15" ht="15">
      <c r="E15" s="22"/>
    </row>
    <row r="17" spans="1:2" ht="18">
      <c r="A17" s="23" t="s">
        <v>50</v>
      </c>
      <c r="B17" s="23"/>
    </row>
    <row r="18" spans="1:2" ht="15">
      <c r="A18" s="30" t="s">
        <v>61</v>
      </c>
      <c r="B18" s="30"/>
    </row>
    <row r="19" spans="1:2" ht="14.25">
      <c r="A19" s="32" t="s">
        <v>62</v>
      </c>
      <c r="B19" s="33"/>
    </row>
    <row r="20" spans="1:5" ht="15">
      <c r="A20" s="34" t="s">
        <v>53</v>
      </c>
      <c r="B20" s="34" t="s">
        <v>54</v>
      </c>
      <c r="C20" s="34" t="s">
        <v>55</v>
      </c>
      <c r="D20" s="34" t="s">
        <v>56</v>
      </c>
      <c r="E20" s="34" t="s">
        <v>57</v>
      </c>
    </row>
    <row r="21" spans="1:5" ht="12.75">
      <c r="A21" s="31" t="s">
        <v>563</v>
      </c>
      <c r="B21" s="19" t="s">
        <v>63</v>
      </c>
      <c r="C21" s="19" t="s">
        <v>152</v>
      </c>
      <c r="D21" s="19" t="s">
        <v>198</v>
      </c>
      <c r="E21" s="35" t="s">
        <v>570</v>
      </c>
    </row>
    <row r="22" spans="1:5" ht="12.75">
      <c r="A22" s="31" t="s">
        <v>566</v>
      </c>
      <c r="B22" s="19" t="s">
        <v>63</v>
      </c>
      <c r="C22" s="19" t="s">
        <v>152</v>
      </c>
      <c r="D22" s="19" t="s">
        <v>189</v>
      </c>
      <c r="E22" s="35" t="s">
        <v>571</v>
      </c>
    </row>
  </sheetData>
  <sheetProtection/>
  <mergeCells count="1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24.75390625" style="19" bestFit="1" customWidth="1"/>
    <col min="2" max="2" width="26.625" style="19" bestFit="1" customWidth="1"/>
    <col min="3" max="3" width="10.125" style="19" bestFit="1" customWidth="1"/>
    <col min="4" max="4" width="8.25390625" style="19" bestFit="1" customWidth="1"/>
    <col min="5" max="5" width="21.75390625" style="19" bestFit="1" customWidth="1"/>
    <col min="6" max="6" width="7.00390625" style="19" bestFit="1" customWidth="1"/>
    <col min="7" max="9" width="5.625" style="19" bestFit="1" customWidth="1"/>
    <col min="10" max="10" width="4.25390625" style="19" bestFit="1" customWidth="1"/>
    <col min="11" max="11" width="7.75390625" style="19" bestFit="1" customWidth="1"/>
    <col min="12" max="12" width="8.625" style="19" bestFit="1" customWidth="1"/>
    <col min="13" max="13" width="8.25390625" style="19" bestFit="1" customWidth="1"/>
  </cols>
  <sheetData>
    <row r="1" spans="1:13" s="1" customFormat="1" ht="15" customHeight="1">
      <c r="A1" s="36" t="s">
        <v>698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1" customFormat="1" ht="81.7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2" customFormat="1" ht="12.75" customHeight="1">
      <c r="A3" s="42" t="s">
        <v>0</v>
      </c>
      <c r="B3" s="44" t="s">
        <v>12</v>
      </c>
      <c r="C3" s="46" t="s">
        <v>5</v>
      </c>
      <c r="D3" s="46" t="s">
        <v>10</v>
      </c>
      <c r="E3" s="46" t="s">
        <v>8</v>
      </c>
      <c r="F3" s="46" t="s">
        <v>11</v>
      </c>
      <c r="G3" s="46" t="s">
        <v>2</v>
      </c>
      <c r="H3" s="46"/>
      <c r="I3" s="46"/>
      <c r="J3" s="46"/>
      <c r="K3" s="46" t="s">
        <v>4</v>
      </c>
      <c r="L3" s="46" t="s">
        <v>7</v>
      </c>
      <c r="M3" s="48" t="s">
        <v>6</v>
      </c>
    </row>
    <row r="4" spans="1:13" s="2" customFormat="1" ht="21" customHeight="1" thickBot="1">
      <c r="A4" s="43"/>
      <c r="B4" s="45"/>
      <c r="C4" s="45"/>
      <c r="D4" s="45"/>
      <c r="E4" s="45"/>
      <c r="F4" s="45"/>
      <c r="G4" s="3">
        <v>1</v>
      </c>
      <c r="H4" s="3">
        <v>2</v>
      </c>
      <c r="I4" s="3">
        <v>3</v>
      </c>
      <c r="J4" s="3" t="s">
        <v>9</v>
      </c>
      <c r="K4" s="45"/>
      <c r="L4" s="45"/>
      <c r="M4" s="49"/>
    </row>
    <row r="5" spans="1:12" ht="15">
      <c r="A5" s="50" t="s">
        <v>420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12.75">
      <c r="A6" s="24" t="s">
        <v>421</v>
      </c>
      <c r="B6" s="24" t="s">
        <v>422</v>
      </c>
      <c r="C6" s="24" t="s">
        <v>423</v>
      </c>
      <c r="D6" s="24" t="str">
        <f>"0,5158"</f>
        <v>0,5158</v>
      </c>
      <c r="E6" s="24" t="s">
        <v>71</v>
      </c>
      <c r="F6" s="24" t="s">
        <v>424</v>
      </c>
      <c r="G6" s="24" t="s">
        <v>572</v>
      </c>
      <c r="H6" s="25" t="s">
        <v>573</v>
      </c>
      <c r="I6" s="25" t="s">
        <v>573</v>
      </c>
      <c r="J6" s="25"/>
      <c r="K6" s="24">
        <v>380</v>
      </c>
      <c r="L6" s="24" t="str">
        <f>"196,0154"</f>
        <v>196,0154</v>
      </c>
      <c r="M6" s="24" t="s">
        <v>44</v>
      </c>
    </row>
    <row r="7" spans="1:13" ht="12.75">
      <c r="A7" s="26" t="s">
        <v>421</v>
      </c>
      <c r="B7" s="26" t="s">
        <v>426</v>
      </c>
      <c r="C7" s="26" t="s">
        <v>423</v>
      </c>
      <c r="D7" s="26" t="str">
        <f>"0,5380"</f>
        <v>0,5380</v>
      </c>
      <c r="E7" s="26" t="s">
        <v>71</v>
      </c>
      <c r="F7" s="26" t="s">
        <v>424</v>
      </c>
      <c r="G7" s="26" t="s">
        <v>572</v>
      </c>
      <c r="H7" s="27" t="s">
        <v>573</v>
      </c>
      <c r="I7" s="27" t="s">
        <v>573</v>
      </c>
      <c r="J7" s="27"/>
      <c r="K7" s="26">
        <v>380</v>
      </c>
      <c r="L7" s="26" t="str">
        <f>"204,4440"</f>
        <v>204,4440</v>
      </c>
      <c r="M7" s="26" t="s">
        <v>44</v>
      </c>
    </row>
    <row r="9" ht="15">
      <c r="E9" s="22" t="s">
        <v>45</v>
      </c>
    </row>
    <row r="10" ht="15">
      <c r="E10" s="22" t="s">
        <v>46</v>
      </c>
    </row>
    <row r="11" ht="15">
      <c r="E11" s="22" t="s">
        <v>47</v>
      </c>
    </row>
    <row r="12" ht="15">
      <c r="E12" s="22" t="s">
        <v>48</v>
      </c>
    </row>
    <row r="13" ht="15">
      <c r="E13" s="22" t="s">
        <v>48</v>
      </c>
    </row>
    <row r="14" ht="15">
      <c r="E14" s="22" t="s">
        <v>49</v>
      </c>
    </row>
    <row r="15" ht="15">
      <c r="E15" s="22"/>
    </row>
    <row r="17" spans="1:2" ht="18">
      <c r="A17" s="23" t="s">
        <v>50</v>
      </c>
      <c r="B17" s="23"/>
    </row>
    <row r="18" spans="1:2" ht="15">
      <c r="A18" s="30" t="s">
        <v>61</v>
      </c>
      <c r="B18" s="30"/>
    </row>
    <row r="19" spans="1:2" ht="14.25">
      <c r="A19" s="32" t="s">
        <v>62</v>
      </c>
      <c r="B19" s="33"/>
    </row>
    <row r="20" spans="1:5" ht="15">
      <c r="A20" s="34" t="s">
        <v>53</v>
      </c>
      <c r="B20" s="34" t="s">
        <v>54</v>
      </c>
      <c r="C20" s="34" t="s">
        <v>55</v>
      </c>
      <c r="D20" s="34" t="s">
        <v>56</v>
      </c>
      <c r="E20" s="34" t="s">
        <v>57</v>
      </c>
    </row>
    <row r="21" spans="1:5" ht="12.75">
      <c r="A21" s="31" t="s">
        <v>421</v>
      </c>
      <c r="B21" s="19" t="s">
        <v>63</v>
      </c>
      <c r="C21" s="19" t="s">
        <v>427</v>
      </c>
      <c r="D21" s="19" t="s">
        <v>572</v>
      </c>
      <c r="E21" s="35" t="s">
        <v>574</v>
      </c>
    </row>
    <row r="23" spans="1:2" ht="14.25">
      <c r="A23" s="32" t="s">
        <v>52</v>
      </c>
      <c r="B23" s="33"/>
    </row>
    <row r="24" spans="1:5" ht="15">
      <c r="A24" s="34" t="s">
        <v>53</v>
      </c>
      <c r="B24" s="34" t="s">
        <v>54</v>
      </c>
      <c r="C24" s="34" t="s">
        <v>55</v>
      </c>
      <c r="D24" s="34" t="s">
        <v>56</v>
      </c>
      <c r="E24" s="34" t="s">
        <v>57</v>
      </c>
    </row>
    <row r="25" spans="1:5" ht="12.75">
      <c r="A25" s="31" t="s">
        <v>421</v>
      </c>
      <c r="B25" s="19" t="s">
        <v>161</v>
      </c>
      <c r="C25" s="19" t="s">
        <v>427</v>
      </c>
      <c r="D25" s="19" t="s">
        <v>572</v>
      </c>
      <c r="E25" s="35" t="s">
        <v>575</v>
      </c>
    </row>
  </sheetData>
  <sheetProtection/>
  <mergeCells count="1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24.75390625" style="19" bestFit="1" customWidth="1"/>
    <col min="2" max="2" width="26.625" style="19" bestFit="1" customWidth="1"/>
    <col min="3" max="3" width="10.125" style="19" bestFit="1" customWidth="1"/>
    <col min="4" max="4" width="8.25390625" style="19" bestFit="1" customWidth="1"/>
    <col min="5" max="5" width="21.75390625" style="19" bestFit="1" customWidth="1"/>
    <col min="6" max="6" width="31.00390625" style="19" bestFit="1" customWidth="1"/>
    <col min="7" max="7" width="5.625" style="19" bestFit="1" customWidth="1"/>
    <col min="8" max="8" width="7.25390625" style="19" bestFit="1" customWidth="1"/>
    <col min="9" max="9" width="2.125" style="19" bestFit="1" customWidth="1"/>
    <col min="10" max="10" width="4.25390625" style="19" bestFit="1" customWidth="1"/>
    <col min="11" max="11" width="7.75390625" style="19" bestFit="1" customWidth="1"/>
    <col min="12" max="12" width="9.625" style="19" bestFit="1" customWidth="1"/>
    <col min="13" max="13" width="8.25390625" style="19" bestFit="1" customWidth="1"/>
  </cols>
  <sheetData>
    <row r="1" spans="1:13" s="1" customFormat="1" ht="15" customHeight="1">
      <c r="A1" s="36" t="s">
        <v>618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1" customFormat="1" ht="81.7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2" customFormat="1" ht="12.75" customHeight="1">
      <c r="A3" s="42" t="s">
        <v>0</v>
      </c>
      <c r="B3" s="44" t="s">
        <v>619</v>
      </c>
      <c r="C3" s="46" t="s">
        <v>5</v>
      </c>
      <c r="D3" s="46" t="s">
        <v>10</v>
      </c>
      <c r="E3" s="46" t="s">
        <v>8</v>
      </c>
      <c r="F3" s="46" t="s">
        <v>11</v>
      </c>
      <c r="G3" s="46" t="s">
        <v>2</v>
      </c>
      <c r="H3" s="46"/>
      <c r="I3" s="46"/>
      <c r="J3" s="46"/>
      <c r="K3" s="46" t="s">
        <v>4</v>
      </c>
      <c r="L3" s="46" t="s">
        <v>7</v>
      </c>
      <c r="M3" s="48" t="s">
        <v>6</v>
      </c>
    </row>
    <row r="4" spans="1:13" s="2" customFormat="1" ht="21" customHeight="1" thickBot="1">
      <c r="A4" s="43"/>
      <c r="B4" s="45"/>
      <c r="C4" s="45"/>
      <c r="D4" s="45"/>
      <c r="E4" s="45"/>
      <c r="F4" s="45"/>
      <c r="G4" s="3" t="s">
        <v>620</v>
      </c>
      <c r="H4" s="3" t="s">
        <v>621</v>
      </c>
      <c r="I4" s="3">
        <v>3</v>
      </c>
      <c r="J4" s="3" t="s">
        <v>9</v>
      </c>
      <c r="K4" s="45"/>
      <c r="L4" s="45"/>
      <c r="M4" s="49"/>
    </row>
    <row r="5" spans="1:12" ht="15">
      <c r="A5" s="50" t="s">
        <v>13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12.75">
      <c r="A6" s="20" t="s">
        <v>622</v>
      </c>
      <c r="B6" s="20" t="s">
        <v>623</v>
      </c>
      <c r="C6" s="20" t="s">
        <v>244</v>
      </c>
      <c r="D6" s="20" t="str">
        <f>"0,7086"</f>
        <v>0,7086</v>
      </c>
      <c r="E6" s="20" t="s">
        <v>71</v>
      </c>
      <c r="F6" s="20" t="s">
        <v>18</v>
      </c>
      <c r="G6" s="20" t="s">
        <v>180</v>
      </c>
      <c r="H6" s="20" t="s">
        <v>624</v>
      </c>
      <c r="I6" s="21"/>
      <c r="J6" s="21"/>
      <c r="K6" s="20">
        <v>1740</v>
      </c>
      <c r="L6" s="20" t="str">
        <f>"1233,0510"</f>
        <v>1233,0510</v>
      </c>
      <c r="M6" s="20" t="s">
        <v>44</v>
      </c>
    </row>
    <row r="8" spans="1:12" ht="15">
      <c r="A8" s="47" t="s">
        <v>67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3" ht="12.75">
      <c r="A9" s="20" t="s">
        <v>87</v>
      </c>
      <c r="B9" s="20" t="s">
        <v>88</v>
      </c>
      <c r="C9" s="20" t="s">
        <v>89</v>
      </c>
      <c r="D9" s="20" t="str">
        <f>"0,6832"</f>
        <v>0,6832</v>
      </c>
      <c r="E9" s="20" t="s">
        <v>71</v>
      </c>
      <c r="F9" s="20" t="s">
        <v>90</v>
      </c>
      <c r="G9" s="20" t="s">
        <v>625</v>
      </c>
      <c r="H9" s="20" t="s">
        <v>626</v>
      </c>
      <c r="I9" s="21"/>
      <c r="J9" s="21"/>
      <c r="K9" s="20">
        <v>1395</v>
      </c>
      <c r="L9" s="20" t="str">
        <f>"953,0640"</f>
        <v>953,0640</v>
      </c>
      <c r="M9" s="20" t="s">
        <v>44</v>
      </c>
    </row>
    <row r="11" spans="1:12" ht="15">
      <c r="A11" s="47" t="s">
        <v>95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</row>
    <row r="12" spans="1:13" ht="12.75">
      <c r="A12" s="24" t="s">
        <v>627</v>
      </c>
      <c r="B12" s="24" t="s">
        <v>628</v>
      </c>
      <c r="C12" s="24" t="s">
        <v>629</v>
      </c>
      <c r="D12" s="24" t="str">
        <f>"0,6340"</f>
        <v>0,6340</v>
      </c>
      <c r="E12" s="24" t="s">
        <v>71</v>
      </c>
      <c r="F12" s="24" t="s">
        <v>18</v>
      </c>
      <c r="G12" s="24" t="s">
        <v>21</v>
      </c>
      <c r="H12" s="24" t="s">
        <v>630</v>
      </c>
      <c r="I12" s="25"/>
      <c r="J12" s="25"/>
      <c r="K12" s="24">
        <v>3230</v>
      </c>
      <c r="L12" s="24" t="str">
        <f>"2047,8200"</f>
        <v>2047,8200</v>
      </c>
      <c r="M12" s="24" t="s">
        <v>44</v>
      </c>
    </row>
    <row r="13" spans="1:13" ht="12.75">
      <c r="A13" s="26" t="s">
        <v>627</v>
      </c>
      <c r="B13" s="26" t="s">
        <v>631</v>
      </c>
      <c r="C13" s="26" t="s">
        <v>629</v>
      </c>
      <c r="D13" s="26" t="str">
        <f>"0,6537"</f>
        <v>0,6537</v>
      </c>
      <c r="E13" s="26" t="s">
        <v>71</v>
      </c>
      <c r="F13" s="26" t="s">
        <v>18</v>
      </c>
      <c r="G13" s="26" t="s">
        <v>21</v>
      </c>
      <c r="H13" s="26" t="s">
        <v>630</v>
      </c>
      <c r="I13" s="27"/>
      <c r="J13" s="27"/>
      <c r="K13" s="26">
        <v>3230</v>
      </c>
      <c r="L13" s="26" t="str">
        <f>"2111,3024"</f>
        <v>2111,3024</v>
      </c>
      <c r="M13" s="26" t="s">
        <v>44</v>
      </c>
    </row>
    <row r="15" spans="1:12" ht="15">
      <c r="A15" s="47" t="s">
        <v>100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</row>
    <row r="16" spans="1:13" ht="12.75">
      <c r="A16" s="24" t="s">
        <v>632</v>
      </c>
      <c r="B16" s="24" t="s">
        <v>633</v>
      </c>
      <c r="C16" s="24" t="s">
        <v>634</v>
      </c>
      <c r="D16" s="24" t="str">
        <f>"0,6100"</f>
        <v>0,6100</v>
      </c>
      <c r="E16" s="24" t="s">
        <v>71</v>
      </c>
      <c r="F16" s="24" t="s">
        <v>18</v>
      </c>
      <c r="G16" s="24" t="s">
        <v>187</v>
      </c>
      <c r="H16" s="24" t="s">
        <v>635</v>
      </c>
      <c r="I16" s="25"/>
      <c r="J16" s="25"/>
      <c r="K16" s="24">
        <v>2405</v>
      </c>
      <c r="L16" s="24" t="str">
        <f>"1467,0500"</f>
        <v>1467,0500</v>
      </c>
      <c r="M16" s="24" t="s">
        <v>44</v>
      </c>
    </row>
    <row r="17" spans="1:13" ht="12.75">
      <c r="A17" s="26" t="s">
        <v>636</v>
      </c>
      <c r="B17" s="26" t="s">
        <v>637</v>
      </c>
      <c r="C17" s="26" t="s">
        <v>638</v>
      </c>
      <c r="D17" s="26" t="str">
        <f>"0,6572"</f>
        <v>0,6572</v>
      </c>
      <c r="E17" s="26" t="s">
        <v>17</v>
      </c>
      <c r="F17" s="26" t="s">
        <v>18</v>
      </c>
      <c r="G17" s="26" t="s">
        <v>94</v>
      </c>
      <c r="H17" s="26" t="s">
        <v>635</v>
      </c>
      <c r="I17" s="27"/>
      <c r="J17" s="27"/>
      <c r="K17" s="26">
        <v>2600</v>
      </c>
      <c r="L17" s="26" t="str">
        <f>"1708,5940"</f>
        <v>1708,5940</v>
      </c>
      <c r="M17" s="26" t="s">
        <v>44</v>
      </c>
    </row>
    <row r="19" spans="1:12" ht="15">
      <c r="A19" s="47" t="s">
        <v>554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3" ht="12.75">
      <c r="A20" s="20" t="s">
        <v>639</v>
      </c>
      <c r="B20" s="20" t="s">
        <v>640</v>
      </c>
      <c r="C20" s="20" t="s">
        <v>641</v>
      </c>
      <c r="D20" s="20" t="str">
        <f>"0,5665"</f>
        <v>0,5665</v>
      </c>
      <c r="E20" s="20" t="s">
        <v>17</v>
      </c>
      <c r="F20" s="20" t="s">
        <v>18</v>
      </c>
      <c r="G20" s="20" t="s">
        <v>134</v>
      </c>
      <c r="H20" s="20" t="s">
        <v>642</v>
      </c>
      <c r="I20" s="21"/>
      <c r="J20" s="21"/>
      <c r="K20" s="20">
        <v>2025</v>
      </c>
      <c r="L20" s="20" t="str">
        <f>"1147,0625"</f>
        <v>1147,0625</v>
      </c>
      <c r="M20" s="20" t="s">
        <v>44</v>
      </c>
    </row>
    <row r="22" spans="1:12" ht="15">
      <c r="A22" s="47" t="s">
        <v>420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pans="1:13" ht="12.75">
      <c r="A23" s="24" t="s">
        <v>421</v>
      </c>
      <c r="B23" s="24" t="s">
        <v>422</v>
      </c>
      <c r="C23" s="24" t="s">
        <v>423</v>
      </c>
      <c r="D23" s="24" t="str">
        <f>"0,5158"</f>
        <v>0,5158</v>
      </c>
      <c r="E23" s="24" t="s">
        <v>71</v>
      </c>
      <c r="F23" s="24" t="s">
        <v>18</v>
      </c>
      <c r="G23" s="24" t="s">
        <v>345</v>
      </c>
      <c r="H23" s="24" t="s">
        <v>643</v>
      </c>
      <c r="I23" s="25"/>
      <c r="J23" s="25"/>
      <c r="K23" s="24">
        <v>1787.5</v>
      </c>
      <c r="L23" s="24" t="str">
        <f>"922,0461"</f>
        <v>922,0461</v>
      </c>
      <c r="M23" s="24" t="s">
        <v>44</v>
      </c>
    </row>
    <row r="24" spans="1:13" ht="12.75">
      <c r="A24" s="26" t="s">
        <v>421</v>
      </c>
      <c r="B24" s="26" t="s">
        <v>426</v>
      </c>
      <c r="C24" s="26" t="s">
        <v>423</v>
      </c>
      <c r="D24" s="26" t="str">
        <f>"0,5380"</f>
        <v>0,5380</v>
      </c>
      <c r="E24" s="26" t="s">
        <v>71</v>
      </c>
      <c r="F24" s="26" t="s">
        <v>18</v>
      </c>
      <c r="G24" s="26" t="s">
        <v>345</v>
      </c>
      <c r="H24" s="26" t="s">
        <v>643</v>
      </c>
      <c r="I24" s="27"/>
      <c r="J24" s="27"/>
      <c r="K24" s="26">
        <v>1787.5</v>
      </c>
      <c r="L24" s="26" t="str">
        <f>"961,6940"</f>
        <v>961,6940</v>
      </c>
      <c r="M24" s="26" t="s">
        <v>44</v>
      </c>
    </row>
    <row r="26" ht="15">
      <c r="E26" s="22" t="s">
        <v>45</v>
      </c>
    </row>
    <row r="27" ht="15">
      <c r="E27" s="22" t="s">
        <v>46</v>
      </c>
    </row>
    <row r="28" ht="15">
      <c r="E28" s="22" t="s">
        <v>47</v>
      </c>
    </row>
    <row r="29" ht="15">
      <c r="E29" s="22" t="s">
        <v>48</v>
      </c>
    </row>
    <row r="30" ht="15">
      <c r="E30" s="22" t="s">
        <v>48</v>
      </c>
    </row>
    <row r="31" ht="15">
      <c r="E31" s="22" t="s">
        <v>49</v>
      </c>
    </row>
    <row r="32" ht="15">
      <c r="E32" s="22"/>
    </row>
    <row r="34" spans="1:2" ht="18">
      <c r="A34" s="23" t="s">
        <v>50</v>
      </c>
      <c r="B34" s="23"/>
    </row>
    <row r="35" spans="1:2" ht="15">
      <c r="A35" s="30" t="s">
        <v>61</v>
      </c>
      <c r="B35" s="30"/>
    </row>
    <row r="36" spans="1:2" ht="14.25">
      <c r="A36" s="32" t="s">
        <v>62</v>
      </c>
      <c r="B36" s="33"/>
    </row>
    <row r="37" spans="1:5" ht="15">
      <c r="A37" s="34" t="s">
        <v>53</v>
      </c>
      <c r="B37" s="34" t="s">
        <v>54</v>
      </c>
      <c r="C37" s="34" t="s">
        <v>55</v>
      </c>
      <c r="D37" s="34" t="s">
        <v>56</v>
      </c>
      <c r="E37" s="34" t="s">
        <v>57</v>
      </c>
    </row>
    <row r="38" spans="1:5" ht="12.75">
      <c r="A38" s="31" t="s">
        <v>627</v>
      </c>
      <c r="B38" s="19" t="s">
        <v>63</v>
      </c>
      <c r="C38" s="19" t="s">
        <v>157</v>
      </c>
      <c r="D38" s="19" t="s">
        <v>644</v>
      </c>
      <c r="E38" s="35" t="s">
        <v>645</v>
      </c>
    </row>
    <row r="39" spans="1:5" ht="12.75">
      <c r="A39" s="31" t="s">
        <v>632</v>
      </c>
      <c r="B39" s="19" t="s">
        <v>63</v>
      </c>
      <c r="C39" s="19" t="s">
        <v>152</v>
      </c>
      <c r="D39" s="19" t="s">
        <v>646</v>
      </c>
      <c r="E39" s="35" t="s">
        <v>647</v>
      </c>
    </row>
    <row r="40" spans="1:5" ht="12.75">
      <c r="A40" s="31" t="s">
        <v>622</v>
      </c>
      <c r="B40" s="19" t="s">
        <v>63</v>
      </c>
      <c r="C40" s="19" t="s">
        <v>59</v>
      </c>
      <c r="D40" s="19" t="s">
        <v>648</v>
      </c>
      <c r="E40" s="35" t="s">
        <v>649</v>
      </c>
    </row>
    <row r="41" spans="1:5" ht="12.75">
      <c r="A41" s="31" t="s">
        <v>87</v>
      </c>
      <c r="B41" s="19" t="s">
        <v>63</v>
      </c>
      <c r="C41" s="19" t="s">
        <v>148</v>
      </c>
      <c r="D41" s="19" t="s">
        <v>650</v>
      </c>
      <c r="E41" s="35" t="s">
        <v>651</v>
      </c>
    </row>
    <row r="42" spans="1:5" ht="12.75">
      <c r="A42" s="31" t="s">
        <v>421</v>
      </c>
      <c r="B42" s="19" t="s">
        <v>63</v>
      </c>
      <c r="C42" s="19" t="s">
        <v>427</v>
      </c>
      <c r="D42" s="19" t="s">
        <v>652</v>
      </c>
      <c r="E42" s="35" t="s">
        <v>653</v>
      </c>
    </row>
    <row r="44" spans="1:2" ht="14.25">
      <c r="A44" s="32" t="s">
        <v>52</v>
      </c>
      <c r="B44" s="33"/>
    </row>
    <row r="45" spans="1:5" ht="15">
      <c r="A45" s="34" t="s">
        <v>53</v>
      </c>
      <c r="B45" s="34" t="s">
        <v>54</v>
      </c>
      <c r="C45" s="34" t="s">
        <v>55</v>
      </c>
      <c r="D45" s="34" t="s">
        <v>56</v>
      </c>
      <c r="E45" s="34" t="s">
        <v>57</v>
      </c>
    </row>
    <row r="46" spans="1:5" ht="12.75">
      <c r="A46" s="31" t="s">
        <v>627</v>
      </c>
      <c r="B46" s="19" t="s">
        <v>161</v>
      </c>
      <c r="C46" s="19" t="s">
        <v>157</v>
      </c>
      <c r="D46" s="19" t="s">
        <v>644</v>
      </c>
      <c r="E46" s="35" t="s">
        <v>654</v>
      </c>
    </row>
    <row r="47" spans="1:5" ht="12.75">
      <c r="A47" s="31" t="s">
        <v>636</v>
      </c>
      <c r="B47" s="19" t="s">
        <v>406</v>
      </c>
      <c r="C47" s="19" t="s">
        <v>152</v>
      </c>
      <c r="D47" s="19" t="s">
        <v>655</v>
      </c>
      <c r="E47" s="35" t="s">
        <v>656</v>
      </c>
    </row>
    <row r="48" spans="1:5" ht="12.75">
      <c r="A48" s="31" t="s">
        <v>639</v>
      </c>
      <c r="B48" s="19" t="s">
        <v>58</v>
      </c>
      <c r="C48" s="19" t="s">
        <v>561</v>
      </c>
      <c r="D48" s="19" t="s">
        <v>657</v>
      </c>
      <c r="E48" s="35" t="s">
        <v>658</v>
      </c>
    </row>
    <row r="49" spans="1:5" ht="12.75">
      <c r="A49" s="31" t="s">
        <v>421</v>
      </c>
      <c r="B49" s="19" t="s">
        <v>161</v>
      </c>
      <c r="C49" s="19" t="s">
        <v>427</v>
      </c>
      <c r="D49" s="19" t="s">
        <v>652</v>
      </c>
      <c r="E49" s="35" t="s">
        <v>659</v>
      </c>
    </row>
  </sheetData>
  <sheetProtection/>
  <mergeCells count="17">
    <mergeCell ref="A22:L22"/>
    <mergeCell ref="M3:M4"/>
    <mergeCell ref="A5:L5"/>
    <mergeCell ref="A8:L8"/>
    <mergeCell ref="A11:L11"/>
    <mergeCell ref="A15:L15"/>
    <mergeCell ref="A19:L19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P23" sqref="P23"/>
    </sheetView>
  </sheetViews>
  <sheetFormatPr defaultColWidth="9.00390625" defaultRowHeight="12.75"/>
  <cols>
    <col min="1" max="1" width="24.75390625" style="19" bestFit="1" customWidth="1"/>
    <col min="2" max="2" width="26.625" style="19" bestFit="1" customWidth="1"/>
    <col min="3" max="3" width="10.125" style="19" bestFit="1" customWidth="1"/>
    <col min="4" max="4" width="8.25390625" style="19" bestFit="1" customWidth="1"/>
    <col min="5" max="5" width="21.75390625" style="19" bestFit="1" customWidth="1"/>
    <col min="6" max="6" width="7.75390625" style="19" bestFit="1" customWidth="1"/>
    <col min="7" max="9" width="4.625" style="19" bestFit="1" customWidth="1"/>
    <col min="10" max="10" width="4.25390625" style="19" bestFit="1" customWidth="1"/>
    <col min="11" max="11" width="7.75390625" style="19" bestFit="1" customWidth="1"/>
    <col min="12" max="12" width="7.625" style="19" bestFit="1" customWidth="1"/>
    <col min="13" max="13" width="8.25390625" style="19" bestFit="1" customWidth="1"/>
  </cols>
  <sheetData>
    <row r="1" spans="1:13" s="1" customFormat="1" ht="15" customHeight="1">
      <c r="A1" s="36" t="s">
        <v>699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1" customFormat="1" ht="81.7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2" customFormat="1" ht="12.75" customHeight="1">
      <c r="A3" s="42" t="s">
        <v>0</v>
      </c>
      <c r="B3" s="44" t="s">
        <v>12</v>
      </c>
      <c r="C3" s="46" t="s">
        <v>5</v>
      </c>
      <c r="D3" s="46" t="s">
        <v>10</v>
      </c>
      <c r="E3" s="46" t="s">
        <v>8</v>
      </c>
      <c r="F3" s="46" t="s">
        <v>11</v>
      </c>
      <c r="G3" s="46" t="s">
        <v>2</v>
      </c>
      <c r="H3" s="46"/>
      <c r="I3" s="46"/>
      <c r="J3" s="46"/>
      <c r="K3" s="46" t="s">
        <v>4</v>
      </c>
      <c r="L3" s="46" t="s">
        <v>7</v>
      </c>
      <c r="M3" s="48" t="s">
        <v>6</v>
      </c>
    </row>
    <row r="4" spans="1:13" s="2" customFormat="1" ht="21" customHeight="1" thickBot="1">
      <c r="A4" s="43"/>
      <c r="B4" s="45"/>
      <c r="C4" s="45"/>
      <c r="D4" s="45"/>
      <c r="E4" s="45"/>
      <c r="F4" s="45"/>
      <c r="G4" s="3">
        <v>1</v>
      </c>
      <c r="H4" s="3">
        <v>2</v>
      </c>
      <c r="I4" s="3">
        <v>3</v>
      </c>
      <c r="J4" s="3" t="s">
        <v>9</v>
      </c>
      <c r="K4" s="45"/>
      <c r="L4" s="45"/>
      <c r="M4" s="49"/>
    </row>
    <row r="5" spans="1:12" ht="15">
      <c r="A5" s="50" t="s">
        <v>100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12.75">
      <c r="A6" s="20" t="s">
        <v>576</v>
      </c>
      <c r="B6" s="20" t="s">
        <v>577</v>
      </c>
      <c r="C6" s="20" t="s">
        <v>578</v>
      </c>
      <c r="D6" s="20" t="str">
        <f>"0,6010"</f>
        <v>0,6010</v>
      </c>
      <c r="E6" s="20" t="s">
        <v>71</v>
      </c>
      <c r="F6" s="20" t="s">
        <v>18</v>
      </c>
      <c r="G6" s="20" t="s">
        <v>231</v>
      </c>
      <c r="H6" s="20" t="s">
        <v>23</v>
      </c>
      <c r="I6" s="21" t="s">
        <v>214</v>
      </c>
      <c r="J6" s="21"/>
      <c r="K6" s="20">
        <v>45</v>
      </c>
      <c r="L6" s="20" t="str">
        <f>"27,0428"</f>
        <v>27,0428</v>
      </c>
      <c r="M6" s="20" t="s">
        <v>44</v>
      </c>
    </row>
    <row r="8" spans="1:12" ht="15">
      <c r="A8" s="47" t="s">
        <v>420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3" ht="12.75">
      <c r="A9" s="24" t="s">
        <v>421</v>
      </c>
      <c r="B9" s="24" t="s">
        <v>422</v>
      </c>
      <c r="C9" s="24" t="s">
        <v>423</v>
      </c>
      <c r="D9" s="24" t="str">
        <f>"0,5158"</f>
        <v>0,5158</v>
      </c>
      <c r="E9" s="24" t="s">
        <v>71</v>
      </c>
      <c r="F9" s="24" t="s">
        <v>424</v>
      </c>
      <c r="G9" s="24" t="s">
        <v>20</v>
      </c>
      <c r="H9" s="25" t="s">
        <v>86</v>
      </c>
      <c r="I9" s="25" t="s">
        <v>86</v>
      </c>
      <c r="J9" s="25"/>
      <c r="K9" s="24">
        <v>80</v>
      </c>
      <c r="L9" s="24" t="str">
        <f>"41,2664"</f>
        <v>41,2664</v>
      </c>
      <c r="M9" s="24" t="s">
        <v>44</v>
      </c>
    </row>
    <row r="10" spans="1:13" ht="12.75">
      <c r="A10" s="26" t="s">
        <v>421</v>
      </c>
      <c r="B10" s="26" t="s">
        <v>426</v>
      </c>
      <c r="C10" s="26" t="s">
        <v>423</v>
      </c>
      <c r="D10" s="26" t="str">
        <f>"0,5380"</f>
        <v>0,5380</v>
      </c>
      <c r="E10" s="26" t="s">
        <v>71</v>
      </c>
      <c r="F10" s="26" t="s">
        <v>424</v>
      </c>
      <c r="G10" s="26" t="s">
        <v>20</v>
      </c>
      <c r="H10" s="27" t="s">
        <v>86</v>
      </c>
      <c r="I10" s="27" t="s">
        <v>86</v>
      </c>
      <c r="J10" s="27"/>
      <c r="K10" s="26">
        <v>80</v>
      </c>
      <c r="L10" s="26" t="str">
        <f>"43,0409"</f>
        <v>43,0409</v>
      </c>
      <c r="M10" s="26" t="s">
        <v>44</v>
      </c>
    </row>
    <row r="12" ht="15">
      <c r="E12" s="22" t="s">
        <v>45</v>
      </c>
    </row>
    <row r="13" ht="15">
      <c r="E13" s="22" t="s">
        <v>46</v>
      </c>
    </row>
    <row r="14" ht="15">
      <c r="E14" s="22" t="s">
        <v>47</v>
      </c>
    </row>
    <row r="15" ht="15">
      <c r="E15" s="22" t="s">
        <v>48</v>
      </c>
    </row>
    <row r="16" ht="15">
      <c r="E16" s="22" t="s">
        <v>48</v>
      </c>
    </row>
    <row r="17" ht="15">
      <c r="E17" s="22" t="s">
        <v>49</v>
      </c>
    </row>
    <row r="18" ht="15">
      <c r="E18" s="22"/>
    </row>
    <row r="20" spans="1:2" ht="18">
      <c r="A20" s="23" t="s">
        <v>50</v>
      </c>
      <c r="B20" s="23"/>
    </row>
    <row r="21" spans="1:2" ht="15">
      <c r="A21" s="30" t="s">
        <v>61</v>
      </c>
      <c r="B21" s="30"/>
    </row>
    <row r="22" spans="1:2" ht="14.25">
      <c r="A22" s="32" t="s">
        <v>62</v>
      </c>
      <c r="B22" s="33"/>
    </row>
    <row r="23" spans="1:5" ht="15">
      <c r="A23" s="34" t="s">
        <v>53</v>
      </c>
      <c r="B23" s="34" t="s">
        <v>54</v>
      </c>
      <c r="C23" s="34" t="s">
        <v>55</v>
      </c>
      <c r="D23" s="34" t="s">
        <v>56</v>
      </c>
      <c r="E23" s="34" t="s">
        <v>57</v>
      </c>
    </row>
    <row r="24" spans="1:5" ht="12.75">
      <c r="A24" s="31" t="s">
        <v>421</v>
      </c>
      <c r="B24" s="19" t="s">
        <v>63</v>
      </c>
      <c r="C24" s="19" t="s">
        <v>427</v>
      </c>
      <c r="D24" s="19" t="s">
        <v>20</v>
      </c>
      <c r="E24" s="35" t="s">
        <v>579</v>
      </c>
    </row>
    <row r="25" spans="1:5" ht="12.75">
      <c r="A25" s="31" t="s">
        <v>576</v>
      </c>
      <c r="B25" s="19" t="s">
        <v>63</v>
      </c>
      <c r="C25" s="19" t="s">
        <v>152</v>
      </c>
      <c r="D25" s="19" t="s">
        <v>23</v>
      </c>
      <c r="E25" s="35" t="s">
        <v>580</v>
      </c>
    </row>
    <row r="27" spans="1:2" ht="14.25">
      <c r="A27" s="32" t="s">
        <v>52</v>
      </c>
      <c r="B27" s="33"/>
    </row>
    <row r="28" spans="1:5" ht="15">
      <c r="A28" s="34" t="s">
        <v>53</v>
      </c>
      <c r="B28" s="34" t="s">
        <v>54</v>
      </c>
      <c r="C28" s="34" t="s">
        <v>55</v>
      </c>
      <c r="D28" s="34" t="s">
        <v>56</v>
      </c>
      <c r="E28" s="34" t="s">
        <v>57</v>
      </c>
    </row>
    <row r="29" spans="1:5" ht="12.75">
      <c r="A29" s="31" t="s">
        <v>421</v>
      </c>
      <c r="B29" s="19" t="s">
        <v>161</v>
      </c>
      <c r="C29" s="19" t="s">
        <v>427</v>
      </c>
      <c r="D29" s="19" t="s">
        <v>20</v>
      </c>
      <c r="E29" s="35" t="s">
        <v>581</v>
      </c>
    </row>
  </sheetData>
  <sheetProtection/>
  <mergeCells count="13"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24.75390625" style="19" bestFit="1" customWidth="1"/>
    <col min="2" max="2" width="20.875" style="19" bestFit="1" customWidth="1"/>
    <col min="3" max="3" width="10.125" style="19" bestFit="1" customWidth="1"/>
    <col min="4" max="4" width="8.25390625" style="19" bestFit="1" customWidth="1"/>
    <col min="5" max="5" width="21.75390625" style="19" bestFit="1" customWidth="1"/>
    <col min="6" max="6" width="24.875" style="19" bestFit="1" customWidth="1"/>
    <col min="7" max="9" width="5.625" style="19" bestFit="1" customWidth="1"/>
    <col min="10" max="10" width="4.25390625" style="19" bestFit="1" customWidth="1"/>
    <col min="11" max="11" width="7.75390625" style="19" bestFit="1" customWidth="1"/>
    <col min="12" max="12" width="8.625" style="19" bestFit="1" customWidth="1"/>
    <col min="13" max="13" width="8.25390625" style="19" bestFit="1" customWidth="1"/>
  </cols>
  <sheetData>
    <row r="1" spans="1:13" s="1" customFormat="1" ht="15" customHeight="1">
      <c r="A1" s="36" t="s">
        <v>700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1" customFormat="1" ht="81.7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2" customFormat="1" ht="12.75" customHeight="1">
      <c r="A3" s="42" t="s">
        <v>0</v>
      </c>
      <c r="B3" s="44" t="s">
        <v>12</v>
      </c>
      <c r="C3" s="46" t="s">
        <v>5</v>
      </c>
      <c r="D3" s="46" t="s">
        <v>10</v>
      </c>
      <c r="E3" s="46" t="s">
        <v>8</v>
      </c>
      <c r="F3" s="46" t="s">
        <v>11</v>
      </c>
      <c r="G3" s="46" t="s">
        <v>3</v>
      </c>
      <c r="H3" s="46"/>
      <c r="I3" s="46"/>
      <c r="J3" s="46"/>
      <c r="K3" s="46" t="s">
        <v>4</v>
      </c>
      <c r="L3" s="46" t="s">
        <v>7</v>
      </c>
      <c r="M3" s="48" t="s">
        <v>6</v>
      </c>
    </row>
    <row r="4" spans="1:13" s="2" customFormat="1" ht="21" customHeight="1" thickBot="1">
      <c r="A4" s="43"/>
      <c r="B4" s="45"/>
      <c r="C4" s="45"/>
      <c r="D4" s="45"/>
      <c r="E4" s="45"/>
      <c r="F4" s="45"/>
      <c r="G4" s="3">
        <v>1</v>
      </c>
      <c r="H4" s="3">
        <v>2</v>
      </c>
      <c r="I4" s="3">
        <v>3</v>
      </c>
      <c r="J4" s="3" t="s">
        <v>9</v>
      </c>
      <c r="K4" s="45"/>
      <c r="L4" s="45"/>
      <c r="M4" s="49"/>
    </row>
    <row r="5" spans="1:12" ht="15">
      <c r="A5" s="50" t="s">
        <v>67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12.75">
      <c r="A6" s="20" t="s">
        <v>68</v>
      </c>
      <c r="B6" s="20" t="s">
        <v>69</v>
      </c>
      <c r="C6" s="20" t="s">
        <v>70</v>
      </c>
      <c r="D6" s="20" t="str">
        <f>"0,6508"</f>
        <v>0,6508</v>
      </c>
      <c r="E6" s="20" t="s">
        <v>71</v>
      </c>
      <c r="F6" s="20" t="s">
        <v>72</v>
      </c>
      <c r="G6" s="21" t="s">
        <v>118</v>
      </c>
      <c r="H6" s="20" t="s">
        <v>118</v>
      </c>
      <c r="I6" s="20" t="s">
        <v>73</v>
      </c>
      <c r="J6" s="21"/>
      <c r="K6" s="20">
        <v>180</v>
      </c>
      <c r="L6" s="20" t="str">
        <f>"117,1440"</f>
        <v>117,1440</v>
      </c>
      <c r="M6" s="20" t="s">
        <v>44</v>
      </c>
    </row>
    <row r="8" spans="1:12" ht="15">
      <c r="A8" s="47" t="s">
        <v>100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3" ht="12.75">
      <c r="A9" s="20" t="s">
        <v>410</v>
      </c>
      <c r="B9" s="20" t="s">
        <v>411</v>
      </c>
      <c r="C9" s="20" t="s">
        <v>412</v>
      </c>
      <c r="D9" s="20" t="str">
        <f>"0,5867"</f>
        <v>0,5867</v>
      </c>
      <c r="E9" s="20" t="s">
        <v>71</v>
      </c>
      <c r="F9" s="20" t="s">
        <v>18</v>
      </c>
      <c r="G9" s="20" t="s">
        <v>40</v>
      </c>
      <c r="H9" s="21" t="s">
        <v>41</v>
      </c>
      <c r="I9" s="21" t="s">
        <v>413</v>
      </c>
      <c r="J9" s="21"/>
      <c r="K9" s="20">
        <v>230</v>
      </c>
      <c r="L9" s="20" t="str">
        <f>"134,9295"</f>
        <v>134,9295</v>
      </c>
      <c r="M9" s="20" t="s">
        <v>44</v>
      </c>
    </row>
    <row r="11" spans="1:12" ht="15">
      <c r="A11" s="47" t="s">
        <v>30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</row>
    <row r="12" spans="1:13" ht="12.75">
      <c r="A12" s="20" t="s">
        <v>414</v>
      </c>
      <c r="B12" s="20" t="s">
        <v>415</v>
      </c>
      <c r="C12" s="20" t="s">
        <v>416</v>
      </c>
      <c r="D12" s="20" t="str">
        <f>"0,5727"</f>
        <v>0,5727</v>
      </c>
      <c r="E12" s="20" t="s">
        <v>71</v>
      </c>
      <c r="F12" s="20" t="s">
        <v>18</v>
      </c>
      <c r="G12" s="20" t="s">
        <v>36</v>
      </c>
      <c r="H12" s="20" t="s">
        <v>40</v>
      </c>
      <c r="I12" s="20" t="s">
        <v>194</v>
      </c>
      <c r="J12" s="21"/>
      <c r="K12" s="20">
        <v>240</v>
      </c>
      <c r="L12" s="20" t="str">
        <f>"137,4600"</f>
        <v>137,4600</v>
      </c>
      <c r="M12" s="20" t="s">
        <v>44</v>
      </c>
    </row>
    <row r="14" ht="15">
      <c r="E14" s="22" t="s">
        <v>45</v>
      </c>
    </row>
    <row r="15" ht="15">
      <c r="E15" s="22" t="s">
        <v>46</v>
      </c>
    </row>
    <row r="16" ht="15">
      <c r="E16" s="22" t="s">
        <v>47</v>
      </c>
    </row>
    <row r="17" ht="15">
      <c r="E17" s="22" t="s">
        <v>48</v>
      </c>
    </row>
    <row r="18" ht="15">
      <c r="E18" s="22" t="s">
        <v>48</v>
      </c>
    </row>
    <row r="19" ht="15">
      <c r="E19" s="22" t="s">
        <v>49</v>
      </c>
    </row>
    <row r="20" ht="15">
      <c r="E20" s="22"/>
    </row>
    <row r="22" spans="1:2" ht="18">
      <c r="A22" s="23" t="s">
        <v>50</v>
      </c>
      <c r="B22" s="23"/>
    </row>
    <row r="23" spans="1:2" ht="15">
      <c r="A23" s="30" t="s">
        <v>61</v>
      </c>
      <c r="B23" s="30"/>
    </row>
    <row r="24" spans="1:2" ht="14.25">
      <c r="A24" s="32" t="s">
        <v>62</v>
      </c>
      <c r="B24" s="33"/>
    </row>
    <row r="25" spans="1:5" ht="15">
      <c r="A25" s="34" t="s">
        <v>53</v>
      </c>
      <c r="B25" s="34" t="s">
        <v>54</v>
      </c>
      <c r="C25" s="34" t="s">
        <v>55</v>
      </c>
      <c r="D25" s="34" t="s">
        <v>56</v>
      </c>
      <c r="E25" s="34" t="s">
        <v>57</v>
      </c>
    </row>
    <row r="26" spans="1:5" ht="12.75">
      <c r="A26" s="31" t="s">
        <v>414</v>
      </c>
      <c r="B26" s="19" t="s">
        <v>63</v>
      </c>
      <c r="C26" s="19" t="s">
        <v>64</v>
      </c>
      <c r="D26" s="19" t="s">
        <v>194</v>
      </c>
      <c r="E26" s="35" t="s">
        <v>417</v>
      </c>
    </row>
    <row r="27" spans="1:5" ht="12.75">
      <c r="A27" s="31" t="s">
        <v>410</v>
      </c>
      <c r="B27" s="19" t="s">
        <v>63</v>
      </c>
      <c r="C27" s="19" t="s">
        <v>152</v>
      </c>
      <c r="D27" s="19" t="s">
        <v>40</v>
      </c>
      <c r="E27" s="35" t="s">
        <v>418</v>
      </c>
    </row>
    <row r="28" spans="1:5" ht="12.75">
      <c r="A28" s="31" t="s">
        <v>68</v>
      </c>
      <c r="B28" s="19" t="s">
        <v>63</v>
      </c>
      <c r="C28" s="19" t="s">
        <v>148</v>
      </c>
      <c r="D28" s="19" t="s">
        <v>73</v>
      </c>
      <c r="E28" s="35" t="s">
        <v>419</v>
      </c>
    </row>
  </sheetData>
  <sheetProtection/>
  <mergeCells count="14"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J15" sqref="J15"/>
    </sheetView>
  </sheetViews>
  <sheetFormatPr defaultColWidth="9.00390625" defaultRowHeight="12.75"/>
  <cols>
    <col min="1" max="1" width="24.75390625" style="19" bestFit="1" customWidth="1"/>
    <col min="2" max="2" width="26.625" style="19" bestFit="1" customWidth="1"/>
    <col min="3" max="3" width="10.125" style="19" bestFit="1" customWidth="1"/>
    <col min="4" max="4" width="8.25390625" style="19" bestFit="1" customWidth="1"/>
    <col min="5" max="5" width="21.75390625" style="19" bestFit="1" customWidth="1"/>
    <col min="6" max="6" width="7.00390625" style="19" bestFit="1" customWidth="1"/>
    <col min="7" max="7" width="5.625" style="19" bestFit="1" customWidth="1"/>
    <col min="8" max="9" width="2.125" style="19" bestFit="1" customWidth="1"/>
    <col min="10" max="10" width="4.25390625" style="19" bestFit="1" customWidth="1"/>
    <col min="11" max="11" width="7.75390625" style="19" bestFit="1" customWidth="1"/>
    <col min="12" max="12" width="8.625" style="19" bestFit="1" customWidth="1"/>
    <col min="13" max="13" width="8.25390625" style="19" bestFit="1" customWidth="1"/>
  </cols>
  <sheetData>
    <row r="1" spans="1:13" s="1" customFormat="1" ht="15" customHeight="1">
      <c r="A1" s="36" t="s">
        <v>701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1" customFormat="1" ht="81.7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2" customFormat="1" ht="12.75" customHeight="1">
      <c r="A3" s="42" t="s">
        <v>0</v>
      </c>
      <c r="B3" s="44" t="s">
        <v>12</v>
      </c>
      <c r="C3" s="46" t="s">
        <v>5</v>
      </c>
      <c r="D3" s="46" t="s">
        <v>10</v>
      </c>
      <c r="E3" s="46" t="s">
        <v>8</v>
      </c>
      <c r="F3" s="46" t="s">
        <v>11</v>
      </c>
      <c r="G3" s="46" t="s">
        <v>3</v>
      </c>
      <c r="H3" s="46"/>
      <c r="I3" s="46"/>
      <c r="J3" s="46"/>
      <c r="K3" s="46" t="s">
        <v>4</v>
      </c>
      <c r="L3" s="46" t="s">
        <v>7</v>
      </c>
      <c r="M3" s="48" t="s">
        <v>6</v>
      </c>
    </row>
    <row r="4" spans="1:13" s="2" customFormat="1" ht="21" customHeight="1" thickBot="1">
      <c r="A4" s="43"/>
      <c r="B4" s="45"/>
      <c r="C4" s="45"/>
      <c r="D4" s="45"/>
      <c r="E4" s="45"/>
      <c r="F4" s="45"/>
      <c r="G4" s="3">
        <v>1</v>
      </c>
      <c r="H4" s="3">
        <v>2</v>
      </c>
      <c r="I4" s="3">
        <v>3</v>
      </c>
      <c r="J4" s="3" t="s">
        <v>9</v>
      </c>
      <c r="K4" s="45"/>
      <c r="L4" s="45"/>
      <c r="M4" s="49"/>
    </row>
    <row r="5" spans="1:12" ht="15">
      <c r="A5" s="50" t="s">
        <v>420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12.75">
      <c r="A6" s="24" t="s">
        <v>421</v>
      </c>
      <c r="B6" s="24" t="s">
        <v>422</v>
      </c>
      <c r="C6" s="24" t="s">
        <v>423</v>
      </c>
      <c r="D6" s="24" t="str">
        <f>"0,5158"</f>
        <v>0,5158</v>
      </c>
      <c r="E6" s="24" t="s">
        <v>71</v>
      </c>
      <c r="F6" s="24" t="s">
        <v>424</v>
      </c>
      <c r="G6" s="24" t="s">
        <v>425</v>
      </c>
      <c r="H6" s="25"/>
      <c r="I6" s="25"/>
      <c r="J6" s="25"/>
      <c r="K6" s="24">
        <v>340</v>
      </c>
      <c r="L6" s="24" t="str">
        <f>"175,3822"</f>
        <v>175,3822</v>
      </c>
      <c r="M6" s="24" t="s">
        <v>44</v>
      </c>
    </row>
    <row r="7" spans="1:13" ht="12.75">
      <c r="A7" s="26" t="s">
        <v>421</v>
      </c>
      <c r="B7" s="26" t="s">
        <v>426</v>
      </c>
      <c r="C7" s="26" t="s">
        <v>423</v>
      </c>
      <c r="D7" s="26" t="str">
        <f>"0,5380"</f>
        <v>0,5380</v>
      </c>
      <c r="E7" s="26" t="s">
        <v>71</v>
      </c>
      <c r="F7" s="26" t="s">
        <v>424</v>
      </c>
      <c r="G7" s="26" t="s">
        <v>425</v>
      </c>
      <c r="H7" s="27"/>
      <c r="I7" s="27"/>
      <c r="J7" s="27"/>
      <c r="K7" s="26">
        <v>340</v>
      </c>
      <c r="L7" s="26" t="str">
        <f>"182,9236"</f>
        <v>182,9236</v>
      </c>
      <c r="M7" s="26" t="s">
        <v>44</v>
      </c>
    </row>
    <row r="9" ht="15">
      <c r="E9" s="22" t="s">
        <v>45</v>
      </c>
    </row>
    <row r="10" ht="15">
      <c r="E10" s="22" t="s">
        <v>46</v>
      </c>
    </row>
    <row r="11" ht="15">
      <c r="E11" s="22" t="s">
        <v>47</v>
      </c>
    </row>
    <row r="12" ht="15">
      <c r="E12" s="22" t="s">
        <v>48</v>
      </c>
    </row>
    <row r="13" ht="15">
      <c r="E13" s="22" t="s">
        <v>48</v>
      </c>
    </row>
    <row r="14" ht="15">
      <c r="E14" s="22" t="s">
        <v>49</v>
      </c>
    </row>
    <row r="15" ht="15">
      <c r="E15" s="22"/>
    </row>
    <row r="17" spans="1:2" ht="18">
      <c r="A17" s="23" t="s">
        <v>50</v>
      </c>
      <c r="B17" s="23"/>
    </row>
    <row r="18" spans="1:2" ht="15">
      <c r="A18" s="30" t="s">
        <v>61</v>
      </c>
      <c r="B18" s="30"/>
    </row>
    <row r="19" spans="1:2" ht="14.25">
      <c r="A19" s="32" t="s">
        <v>62</v>
      </c>
      <c r="B19" s="33"/>
    </row>
    <row r="20" spans="1:5" ht="15">
      <c r="A20" s="34" t="s">
        <v>53</v>
      </c>
      <c r="B20" s="34" t="s">
        <v>54</v>
      </c>
      <c r="C20" s="34" t="s">
        <v>55</v>
      </c>
      <c r="D20" s="34" t="s">
        <v>56</v>
      </c>
      <c r="E20" s="34" t="s">
        <v>57</v>
      </c>
    </row>
    <row r="21" spans="1:5" ht="12.75">
      <c r="A21" s="31" t="s">
        <v>421</v>
      </c>
      <c r="B21" s="19" t="s">
        <v>63</v>
      </c>
      <c r="C21" s="19" t="s">
        <v>427</v>
      </c>
      <c r="D21" s="19" t="s">
        <v>425</v>
      </c>
      <c r="E21" s="35" t="s">
        <v>428</v>
      </c>
    </row>
    <row r="23" spans="1:2" ht="14.25">
      <c r="A23" s="32" t="s">
        <v>52</v>
      </c>
      <c r="B23" s="33"/>
    </row>
    <row r="24" spans="1:5" ht="15">
      <c r="A24" s="34" t="s">
        <v>53</v>
      </c>
      <c r="B24" s="34" t="s">
        <v>54</v>
      </c>
      <c r="C24" s="34" t="s">
        <v>55</v>
      </c>
      <c r="D24" s="34" t="s">
        <v>56</v>
      </c>
      <c r="E24" s="34" t="s">
        <v>57</v>
      </c>
    </row>
    <row r="25" spans="1:5" ht="12.75">
      <c r="A25" s="31" t="s">
        <v>421</v>
      </c>
      <c r="B25" s="19" t="s">
        <v>161</v>
      </c>
      <c r="C25" s="19" t="s">
        <v>427</v>
      </c>
      <c r="D25" s="19" t="s">
        <v>425</v>
      </c>
      <c r="E25" s="35" t="s">
        <v>429</v>
      </c>
    </row>
  </sheetData>
  <sheetProtection/>
  <mergeCells count="1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24.75390625" style="19" bestFit="1" customWidth="1"/>
    <col min="2" max="2" width="26.625" style="19" bestFit="1" customWidth="1"/>
    <col min="3" max="3" width="10.125" style="19" bestFit="1" customWidth="1"/>
    <col min="4" max="4" width="8.25390625" style="19" bestFit="1" customWidth="1"/>
    <col min="5" max="5" width="21.75390625" style="19" bestFit="1" customWidth="1"/>
    <col min="6" max="6" width="27.25390625" style="19" bestFit="1" customWidth="1"/>
    <col min="7" max="9" width="5.625" style="19" bestFit="1" customWidth="1"/>
    <col min="10" max="10" width="4.25390625" style="19" bestFit="1" customWidth="1"/>
    <col min="11" max="13" width="5.625" style="19" bestFit="1" customWidth="1"/>
    <col min="14" max="14" width="4.25390625" style="19" bestFit="1" customWidth="1"/>
    <col min="15" max="17" width="5.625" style="19" bestFit="1" customWidth="1"/>
    <col min="18" max="18" width="4.25390625" style="19" bestFit="1" customWidth="1"/>
    <col min="19" max="19" width="7.75390625" style="19" bestFit="1" customWidth="1"/>
    <col min="20" max="20" width="8.625" style="19" bestFit="1" customWidth="1"/>
    <col min="21" max="21" width="8.25390625" style="19" bestFit="1" customWidth="1"/>
  </cols>
  <sheetData>
    <row r="1" spans="1:21" s="1" customFormat="1" ht="15" customHeight="1">
      <c r="A1" s="36" t="s">
        <v>689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8"/>
    </row>
    <row r="2" spans="1:21" s="1" customFormat="1" ht="81.7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1"/>
    </row>
    <row r="3" spans="1:21" s="2" customFormat="1" ht="12.75" customHeight="1">
      <c r="A3" s="42" t="s">
        <v>0</v>
      </c>
      <c r="B3" s="44" t="s">
        <v>12</v>
      </c>
      <c r="C3" s="46" t="s">
        <v>5</v>
      </c>
      <c r="D3" s="46" t="s">
        <v>10</v>
      </c>
      <c r="E3" s="46" t="s">
        <v>8</v>
      </c>
      <c r="F3" s="46" t="s">
        <v>11</v>
      </c>
      <c r="G3" s="46" t="s">
        <v>1</v>
      </c>
      <c r="H3" s="46"/>
      <c r="I3" s="46"/>
      <c r="J3" s="46"/>
      <c r="K3" s="46" t="s">
        <v>2</v>
      </c>
      <c r="L3" s="46"/>
      <c r="M3" s="46"/>
      <c r="N3" s="46"/>
      <c r="O3" s="46" t="s">
        <v>3</v>
      </c>
      <c r="P3" s="46"/>
      <c r="Q3" s="46"/>
      <c r="R3" s="46"/>
      <c r="S3" s="46" t="s">
        <v>4</v>
      </c>
      <c r="T3" s="46" t="s">
        <v>7</v>
      </c>
      <c r="U3" s="48" t="s">
        <v>6</v>
      </c>
    </row>
    <row r="4" spans="1:21" s="2" customFormat="1" ht="21" customHeight="1" thickBot="1">
      <c r="A4" s="43"/>
      <c r="B4" s="45"/>
      <c r="C4" s="45"/>
      <c r="D4" s="45"/>
      <c r="E4" s="45"/>
      <c r="F4" s="45"/>
      <c r="G4" s="3">
        <v>1</v>
      </c>
      <c r="H4" s="3">
        <v>2</v>
      </c>
      <c r="I4" s="3">
        <v>3</v>
      </c>
      <c r="J4" s="3" t="s">
        <v>9</v>
      </c>
      <c r="K4" s="3">
        <v>1</v>
      </c>
      <c r="L4" s="3">
        <v>2</v>
      </c>
      <c r="M4" s="3">
        <v>3</v>
      </c>
      <c r="N4" s="3" t="s">
        <v>9</v>
      </c>
      <c r="O4" s="3">
        <v>1</v>
      </c>
      <c r="P4" s="3">
        <v>2</v>
      </c>
      <c r="Q4" s="3">
        <v>3</v>
      </c>
      <c r="R4" s="3" t="s">
        <v>9</v>
      </c>
      <c r="S4" s="45"/>
      <c r="T4" s="45"/>
      <c r="U4" s="49"/>
    </row>
    <row r="5" spans="1:20" ht="15">
      <c r="A5" s="50" t="s">
        <v>234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1" ht="12.75">
      <c r="A6" s="20" t="s">
        <v>534</v>
      </c>
      <c r="B6" s="20" t="s">
        <v>535</v>
      </c>
      <c r="C6" s="20" t="s">
        <v>536</v>
      </c>
      <c r="D6" s="20" t="str">
        <f>"0,9969"</f>
        <v>0,9969</v>
      </c>
      <c r="E6" s="20" t="s">
        <v>17</v>
      </c>
      <c r="F6" s="20" t="s">
        <v>537</v>
      </c>
      <c r="G6" s="20" t="s">
        <v>20</v>
      </c>
      <c r="H6" s="20" t="s">
        <v>21</v>
      </c>
      <c r="I6" s="20" t="s">
        <v>86</v>
      </c>
      <c r="J6" s="21"/>
      <c r="K6" s="20" t="s">
        <v>23</v>
      </c>
      <c r="L6" s="21" t="s">
        <v>246</v>
      </c>
      <c r="M6" s="21" t="s">
        <v>246</v>
      </c>
      <c r="N6" s="21"/>
      <c r="O6" s="20" t="s">
        <v>86</v>
      </c>
      <c r="P6" s="20" t="s">
        <v>25</v>
      </c>
      <c r="Q6" s="20" t="s">
        <v>94</v>
      </c>
      <c r="R6" s="21"/>
      <c r="S6" s="20">
        <v>235</v>
      </c>
      <c r="T6" s="20" t="str">
        <f>"234,2832"</f>
        <v>234,2832</v>
      </c>
      <c r="U6" s="20" t="s">
        <v>44</v>
      </c>
    </row>
    <row r="8" spans="1:20" ht="15">
      <c r="A8" s="47" t="s">
        <v>67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1" ht="12.75">
      <c r="A9" s="20" t="s">
        <v>538</v>
      </c>
      <c r="B9" s="20" t="s">
        <v>539</v>
      </c>
      <c r="C9" s="20" t="s">
        <v>540</v>
      </c>
      <c r="D9" s="20" t="str">
        <f>"0,6487"</f>
        <v>0,6487</v>
      </c>
      <c r="E9" s="20" t="s">
        <v>17</v>
      </c>
      <c r="F9" s="20" t="s">
        <v>18</v>
      </c>
      <c r="G9" s="20" t="s">
        <v>73</v>
      </c>
      <c r="H9" s="21" t="s">
        <v>34</v>
      </c>
      <c r="I9" s="21" t="s">
        <v>34</v>
      </c>
      <c r="J9" s="21"/>
      <c r="K9" s="20" t="s">
        <v>94</v>
      </c>
      <c r="L9" s="20" t="s">
        <v>27</v>
      </c>
      <c r="M9" s="20" t="s">
        <v>91</v>
      </c>
      <c r="N9" s="21"/>
      <c r="O9" s="20" t="s">
        <v>104</v>
      </c>
      <c r="P9" s="20" t="s">
        <v>73</v>
      </c>
      <c r="Q9" s="21" t="s">
        <v>105</v>
      </c>
      <c r="R9" s="21"/>
      <c r="S9" s="20">
        <v>475</v>
      </c>
      <c r="T9" s="20" t="str">
        <f>"308,1325"</f>
        <v>308,1325</v>
      </c>
      <c r="U9" s="20" t="s">
        <v>44</v>
      </c>
    </row>
    <row r="11" spans="1:20" ht="15">
      <c r="A11" s="47" t="s">
        <v>95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</row>
    <row r="12" spans="1:21" ht="12.75">
      <c r="A12" s="20" t="s">
        <v>329</v>
      </c>
      <c r="B12" s="20" t="s">
        <v>330</v>
      </c>
      <c r="C12" s="20" t="s">
        <v>331</v>
      </c>
      <c r="D12" s="20" t="str">
        <f>"0,6230"</f>
        <v>0,6230</v>
      </c>
      <c r="E12" s="20" t="s">
        <v>71</v>
      </c>
      <c r="F12" s="20" t="s">
        <v>332</v>
      </c>
      <c r="G12" s="21" t="s">
        <v>35</v>
      </c>
      <c r="H12" s="21" t="s">
        <v>35</v>
      </c>
      <c r="I12" s="21" t="s">
        <v>35</v>
      </c>
      <c r="J12" s="21"/>
      <c r="K12" s="21" t="s">
        <v>39</v>
      </c>
      <c r="L12" s="21"/>
      <c r="M12" s="21"/>
      <c r="N12" s="21"/>
      <c r="O12" s="21" t="s">
        <v>40</v>
      </c>
      <c r="P12" s="21"/>
      <c r="Q12" s="21"/>
      <c r="R12" s="21"/>
      <c r="S12" s="20">
        <v>0</v>
      </c>
      <c r="T12" s="20" t="str">
        <f>"0,0000"</f>
        <v>0,0000</v>
      </c>
      <c r="U12" s="20" t="s">
        <v>44</v>
      </c>
    </row>
    <row r="14" spans="1:20" ht="15">
      <c r="A14" s="47" t="s">
        <v>100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</row>
    <row r="15" spans="1:21" ht="12.75">
      <c r="A15" s="24" t="s">
        <v>541</v>
      </c>
      <c r="B15" s="24" t="s">
        <v>542</v>
      </c>
      <c r="C15" s="24" t="s">
        <v>344</v>
      </c>
      <c r="D15" s="24" t="str">
        <f>"0,5838"</f>
        <v>0,5838</v>
      </c>
      <c r="E15" s="24" t="s">
        <v>71</v>
      </c>
      <c r="F15" s="24" t="s">
        <v>543</v>
      </c>
      <c r="G15" s="24" t="s">
        <v>105</v>
      </c>
      <c r="H15" s="25" t="s">
        <v>189</v>
      </c>
      <c r="I15" s="24" t="s">
        <v>544</v>
      </c>
      <c r="J15" s="25"/>
      <c r="K15" s="24" t="s">
        <v>94</v>
      </c>
      <c r="L15" s="24" t="s">
        <v>27</v>
      </c>
      <c r="M15" s="24" t="s">
        <v>91</v>
      </c>
      <c r="N15" s="25"/>
      <c r="O15" s="24" t="s">
        <v>34</v>
      </c>
      <c r="P15" s="24" t="s">
        <v>545</v>
      </c>
      <c r="Q15" s="24" t="s">
        <v>505</v>
      </c>
      <c r="R15" s="25"/>
      <c r="S15" s="24">
        <v>552.5</v>
      </c>
      <c r="T15" s="24" t="str">
        <f>"322,5495"</f>
        <v>322,5495</v>
      </c>
      <c r="U15" s="24" t="s">
        <v>44</v>
      </c>
    </row>
    <row r="16" spans="1:21" ht="12.75">
      <c r="A16" s="26" t="s">
        <v>541</v>
      </c>
      <c r="B16" s="26" t="s">
        <v>546</v>
      </c>
      <c r="C16" s="26" t="s">
        <v>344</v>
      </c>
      <c r="D16" s="26" t="str">
        <f>"0,8132"</f>
        <v>0,8132</v>
      </c>
      <c r="E16" s="26" t="s">
        <v>71</v>
      </c>
      <c r="F16" s="26" t="s">
        <v>543</v>
      </c>
      <c r="G16" s="26" t="s">
        <v>105</v>
      </c>
      <c r="H16" s="27" t="s">
        <v>189</v>
      </c>
      <c r="I16" s="26" t="s">
        <v>544</v>
      </c>
      <c r="J16" s="27"/>
      <c r="K16" s="26" t="s">
        <v>94</v>
      </c>
      <c r="L16" s="26" t="s">
        <v>27</v>
      </c>
      <c r="M16" s="26" t="s">
        <v>91</v>
      </c>
      <c r="N16" s="27"/>
      <c r="O16" s="26" t="s">
        <v>34</v>
      </c>
      <c r="P16" s="26" t="s">
        <v>545</v>
      </c>
      <c r="Q16" s="26" t="s">
        <v>505</v>
      </c>
      <c r="R16" s="27"/>
      <c r="S16" s="26">
        <v>552.5</v>
      </c>
      <c r="T16" s="26" t="str">
        <f>"449,3115"</f>
        <v>449,3115</v>
      </c>
      <c r="U16" s="26" t="s">
        <v>44</v>
      </c>
    </row>
    <row r="18" ht="15">
      <c r="E18" s="22" t="s">
        <v>45</v>
      </c>
    </row>
    <row r="19" ht="15">
      <c r="E19" s="22" t="s">
        <v>46</v>
      </c>
    </row>
    <row r="20" ht="15">
      <c r="E20" s="22" t="s">
        <v>47</v>
      </c>
    </row>
    <row r="21" ht="15">
      <c r="E21" s="22" t="s">
        <v>48</v>
      </c>
    </row>
    <row r="22" ht="15">
      <c r="E22" s="22" t="s">
        <v>48</v>
      </c>
    </row>
    <row r="23" ht="15">
      <c r="E23" s="22" t="s">
        <v>49</v>
      </c>
    </row>
    <row r="24" ht="15">
      <c r="E24" s="22"/>
    </row>
    <row r="26" spans="1:2" ht="18">
      <c r="A26" s="23" t="s">
        <v>50</v>
      </c>
      <c r="B26" s="23"/>
    </row>
    <row r="27" spans="1:2" ht="15">
      <c r="A27" s="30" t="s">
        <v>51</v>
      </c>
      <c r="B27" s="30"/>
    </row>
    <row r="28" spans="1:2" ht="14.25">
      <c r="A28" s="32" t="s">
        <v>62</v>
      </c>
      <c r="B28" s="33"/>
    </row>
    <row r="29" spans="1:5" ht="15">
      <c r="A29" s="34" t="s">
        <v>53</v>
      </c>
      <c r="B29" s="34" t="s">
        <v>54</v>
      </c>
      <c r="C29" s="34" t="s">
        <v>55</v>
      </c>
      <c r="D29" s="34" t="s">
        <v>56</v>
      </c>
      <c r="E29" s="34" t="s">
        <v>57</v>
      </c>
    </row>
    <row r="30" spans="1:5" ht="12.75">
      <c r="A30" s="31" t="s">
        <v>534</v>
      </c>
      <c r="B30" s="19" t="s">
        <v>63</v>
      </c>
      <c r="C30" s="19" t="s">
        <v>376</v>
      </c>
      <c r="D30" s="19" t="s">
        <v>494</v>
      </c>
      <c r="E30" s="35" t="s">
        <v>547</v>
      </c>
    </row>
    <row r="33" spans="1:2" ht="15">
      <c r="A33" s="30" t="s">
        <v>61</v>
      </c>
      <c r="B33" s="30"/>
    </row>
    <row r="34" spans="1:2" ht="14.25">
      <c r="A34" s="32" t="s">
        <v>62</v>
      </c>
      <c r="B34" s="33"/>
    </row>
    <row r="35" spans="1:5" ht="15">
      <c r="A35" s="34" t="s">
        <v>53</v>
      </c>
      <c r="B35" s="34" t="s">
        <v>54</v>
      </c>
      <c r="C35" s="34" t="s">
        <v>55</v>
      </c>
      <c r="D35" s="34" t="s">
        <v>56</v>
      </c>
      <c r="E35" s="34" t="s">
        <v>57</v>
      </c>
    </row>
    <row r="36" spans="1:5" ht="12.75">
      <c r="A36" s="31" t="s">
        <v>541</v>
      </c>
      <c r="B36" s="19" t="s">
        <v>63</v>
      </c>
      <c r="C36" s="19" t="s">
        <v>152</v>
      </c>
      <c r="D36" s="19" t="s">
        <v>548</v>
      </c>
      <c r="E36" s="35" t="s">
        <v>549</v>
      </c>
    </row>
    <row r="37" spans="1:5" ht="12.75">
      <c r="A37" s="31" t="s">
        <v>538</v>
      </c>
      <c r="B37" s="19" t="s">
        <v>63</v>
      </c>
      <c r="C37" s="19" t="s">
        <v>148</v>
      </c>
      <c r="D37" s="19" t="s">
        <v>550</v>
      </c>
      <c r="E37" s="35" t="s">
        <v>551</v>
      </c>
    </row>
    <row r="39" spans="1:2" ht="14.25">
      <c r="A39" s="32" t="s">
        <v>52</v>
      </c>
      <c r="B39" s="33"/>
    </row>
    <row r="40" spans="1:5" ht="15">
      <c r="A40" s="34" t="s">
        <v>53</v>
      </c>
      <c r="B40" s="34" t="s">
        <v>54</v>
      </c>
      <c r="C40" s="34" t="s">
        <v>55</v>
      </c>
      <c r="D40" s="34" t="s">
        <v>56</v>
      </c>
      <c r="E40" s="34" t="s">
        <v>57</v>
      </c>
    </row>
    <row r="41" spans="1:5" ht="12.75">
      <c r="A41" s="31" t="s">
        <v>541</v>
      </c>
      <c r="B41" s="19" t="s">
        <v>151</v>
      </c>
      <c r="C41" s="19" t="s">
        <v>152</v>
      </c>
      <c r="D41" s="19" t="s">
        <v>548</v>
      </c>
      <c r="E41" s="35" t="s">
        <v>552</v>
      </c>
    </row>
  </sheetData>
  <sheetProtection/>
  <mergeCells count="17">
    <mergeCell ref="A14:T14"/>
    <mergeCell ref="S3:S4"/>
    <mergeCell ref="T3:T4"/>
    <mergeCell ref="U3:U4"/>
    <mergeCell ref="A5:T5"/>
    <mergeCell ref="A8:T8"/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3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24.75390625" style="19" bestFit="1" customWidth="1"/>
    <col min="2" max="2" width="26.625" style="19" bestFit="1" customWidth="1"/>
    <col min="3" max="3" width="10.125" style="19" bestFit="1" customWidth="1"/>
    <col min="4" max="4" width="8.25390625" style="19" bestFit="1" customWidth="1"/>
    <col min="5" max="5" width="21.75390625" style="19" bestFit="1" customWidth="1"/>
    <col min="6" max="6" width="34.25390625" style="19" bestFit="1" customWidth="1"/>
    <col min="7" max="9" width="5.625" style="19" bestFit="1" customWidth="1"/>
    <col min="10" max="10" width="4.25390625" style="19" bestFit="1" customWidth="1"/>
    <col min="11" max="11" width="7.75390625" style="19" bestFit="1" customWidth="1"/>
    <col min="12" max="12" width="8.625" style="19" bestFit="1" customWidth="1"/>
    <col min="13" max="13" width="14.875" style="19" bestFit="1" customWidth="1"/>
  </cols>
  <sheetData>
    <row r="1" spans="1:13" s="1" customFormat="1" ht="15" customHeight="1">
      <c r="A1" s="36" t="s">
        <v>690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1" customFormat="1" ht="81.7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2" customFormat="1" ht="12.75" customHeight="1">
      <c r="A3" s="42" t="s">
        <v>0</v>
      </c>
      <c r="B3" s="44" t="s">
        <v>12</v>
      </c>
      <c r="C3" s="46" t="s">
        <v>5</v>
      </c>
      <c r="D3" s="46" t="s">
        <v>10</v>
      </c>
      <c r="E3" s="46" t="s">
        <v>8</v>
      </c>
      <c r="F3" s="46" t="s">
        <v>11</v>
      </c>
      <c r="G3" s="46" t="s">
        <v>2</v>
      </c>
      <c r="H3" s="46"/>
      <c r="I3" s="46"/>
      <c r="J3" s="46"/>
      <c r="K3" s="46" t="s">
        <v>4</v>
      </c>
      <c r="L3" s="46" t="s">
        <v>7</v>
      </c>
      <c r="M3" s="48" t="s">
        <v>6</v>
      </c>
    </row>
    <row r="4" spans="1:13" s="2" customFormat="1" ht="21" customHeight="1" thickBot="1">
      <c r="A4" s="43"/>
      <c r="B4" s="45"/>
      <c r="C4" s="45"/>
      <c r="D4" s="45"/>
      <c r="E4" s="45"/>
      <c r="F4" s="45"/>
      <c r="G4" s="3">
        <v>1</v>
      </c>
      <c r="H4" s="3">
        <v>2</v>
      </c>
      <c r="I4" s="3">
        <v>3</v>
      </c>
      <c r="J4" s="3" t="s">
        <v>9</v>
      </c>
      <c r="K4" s="45"/>
      <c r="L4" s="45"/>
      <c r="M4" s="49"/>
    </row>
    <row r="5" spans="1:12" ht="15">
      <c r="A5" s="50" t="s">
        <v>210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12.75">
      <c r="A6" s="20" t="s">
        <v>211</v>
      </c>
      <c r="B6" s="20" t="s">
        <v>212</v>
      </c>
      <c r="C6" s="20" t="s">
        <v>213</v>
      </c>
      <c r="D6" s="20" t="str">
        <f>"1,1942"</f>
        <v>1,1942</v>
      </c>
      <c r="E6" s="20" t="s">
        <v>17</v>
      </c>
      <c r="F6" s="20" t="s">
        <v>18</v>
      </c>
      <c r="G6" s="20" t="s">
        <v>214</v>
      </c>
      <c r="H6" s="20" t="s">
        <v>81</v>
      </c>
      <c r="I6" s="20" t="s">
        <v>167</v>
      </c>
      <c r="J6" s="21"/>
      <c r="K6" s="20">
        <v>62.5</v>
      </c>
      <c r="L6" s="20" t="str">
        <f>"74,6375"</f>
        <v>74,6375</v>
      </c>
      <c r="M6" s="20" t="s">
        <v>44</v>
      </c>
    </row>
    <row r="8" spans="1:12" ht="15">
      <c r="A8" s="47" t="s">
        <v>215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3" ht="12.75">
      <c r="A9" s="24" t="s">
        <v>216</v>
      </c>
      <c r="B9" s="24" t="s">
        <v>217</v>
      </c>
      <c r="C9" s="24" t="s">
        <v>218</v>
      </c>
      <c r="D9" s="24" t="str">
        <f>"1,1282"</f>
        <v>1,1282</v>
      </c>
      <c r="E9" s="24" t="s">
        <v>71</v>
      </c>
      <c r="F9" s="24" t="s">
        <v>18</v>
      </c>
      <c r="G9" s="24" t="s">
        <v>214</v>
      </c>
      <c r="H9" s="24" t="s">
        <v>219</v>
      </c>
      <c r="I9" s="24" t="s">
        <v>81</v>
      </c>
      <c r="J9" s="25"/>
      <c r="K9" s="24">
        <v>60</v>
      </c>
      <c r="L9" s="24" t="str">
        <f>"67,6920"</f>
        <v>67,6920</v>
      </c>
      <c r="M9" s="24" t="s">
        <v>44</v>
      </c>
    </row>
    <row r="10" spans="1:13" ht="12.75">
      <c r="A10" s="26" t="s">
        <v>220</v>
      </c>
      <c r="B10" s="26" t="s">
        <v>221</v>
      </c>
      <c r="C10" s="26" t="s">
        <v>222</v>
      </c>
      <c r="D10" s="26" t="str">
        <f>"1,1264"</f>
        <v>1,1264</v>
      </c>
      <c r="E10" s="26" t="s">
        <v>71</v>
      </c>
      <c r="F10" s="26" t="s">
        <v>223</v>
      </c>
      <c r="G10" s="26" t="s">
        <v>167</v>
      </c>
      <c r="H10" s="26" t="s">
        <v>179</v>
      </c>
      <c r="I10" s="26" t="s">
        <v>82</v>
      </c>
      <c r="J10" s="27"/>
      <c r="K10" s="26">
        <v>67.5</v>
      </c>
      <c r="L10" s="26" t="str">
        <f>"76,0320"</f>
        <v>76,0320</v>
      </c>
      <c r="M10" s="26" t="s">
        <v>44</v>
      </c>
    </row>
    <row r="12" spans="1:12" ht="15">
      <c r="A12" s="47" t="s">
        <v>224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3" ht="12.75">
      <c r="A13" s="24" t="s">
        <v>225</v>
      </c>
      <c r="B13" s="24" t="s">
        <v>226</v>
      </c>
      <c r="C13" s="24" t="s">
        <v>227</v>
      </c>
      <c r="D13" s="24" t="str">
        <f>"1,0796"</f>
        <v>1,0796</v>
      </c>
      <c r="E13" s="24" t="s">
        <v>71</v>
      </c>
      <c r="F13" s="24" t="s">
        <v>184</v>
      </c>
      <c r="G13" s="24" t="s">
        <v>24</v>
      </c>
      <c r="H13" s="24" t="s">
        <v>214</v>
      </c>
      <c r="I13" s="24" t="s">
        <v>81</v>
      </c>
      <c r="J13" s="25"/>
      <c r="K13" s="24">
        <v>60</v>
      </c>
      <c r="L13" s="24" t="str">
        <f>"64,7760"</f>
        <v>64,7760</v>
      </c>
      <c r="M13" s="24" t="s">
        <v>44</v>
      </c>
    </row>
    <row r="14" spans="1:13" ht="12.75">
      <c r="A14" s="26" t="s">
        <v>228</v>
      </c>
      <c r="B14" s="26" t="s">
        <v>229</v>
      </c>
      <c r="C14" s="26" t="s">
        <v>230</v>
      </c>
      <c r="D14" s="26" t="str">
        <f>"1,0764"</f>
        <v>1,0764</v>
      </c>
      <c r="E14" s="26" t="s">
        <v>71</v>
      </c>
      <c r="F14" s="26" t="s">
        <v>18</v>
      </c>
      <c r="G14" s="26" t="s">
        <v>231</v>
      </c>
      <c r="H14" s="27" t="s">
        <v>232</v>
      </c>
      <c r="I14" s="26" t="s">
        <v>232</v>
      </c>
      <c r="J14" s="27"/>
      <c r="K14" s="26">
        <v>37.5</v>
      </c>
      <c r="L14" s="26" t="str">
        <f>"40,3650"</f>
        <v>40,3650</v>
      </c>
      <c r="M14" s="26" t="s">
        <v>233</v>
      </c>
    </row>
    <row r="16" spans="1:12" ht="15">
      <c r="A16" s="47" t="s">
        <v>234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</row>
    <row r="17" spans="1:13" ht="12.75">
      <c r="A17" s="20" t="s">
        <v>235</v>
      </c>
      <c r="B17" s="20" t="s">
        <v>236</v>
      </c>
      <c r="C17" s="20" t="s">
        <v>237</v>
      </c>
      <c r="D17" s="20" t="str">
        <f>"1,0220"</f>
        <v>1,0220</v>
      </c>
      <c r="E17" s="20" t="s">
        <v>71</v>
      </c>
      <c r="F17" s="20" t="s">
        <v>238</v>
      </c>
      <c r="G17" s="20" t="s">
        <v>219</v>
      </c>
      <c r="H17" s="20" t="s">
        <v>167</v>
      </c>
      <c r="I17" s="21" t="s">
        <v>82</v>
      </c>
      <c r="J17" s="21"/>
      <c r="K17" s="20">
        <v>62.5</v>
      </c>
      <c r="L17" s="20" t="str">
        <f>"63,8750"</f>
        <v>63,8750</v>
      </c>
      <c r="M17" s="20" t="s">
        <v>44</v>
      </c>
    </row>
    <row r="19" spans="1:12" ht="15">
      <c r="A19" s="47" t="s">
        <v>74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3" ht="12.75">
      <c r="A20" s="20" t="s">
        <v>239</v>
      </c>
      <c r="B20" s="20" t="s">
        <v>240</v>
      </c>
      <c r="C20" s="20" t="s">
        <v>241</v>
      </c>
      <c r="D20" s="20" t="str">
        <f>"0,9000"</f>
        <v>0,9000</v>
      </c>
      <c r="E20" s="20" t="s">
        <v>71</v>
      </c>
      <c r="F20" s="20" t="s">
        <v>18</v>
      </c>
      <c r="G20" s="20" t="s">
        <v>81</v>
      </c>
      <c r="H20" s="21" t="s">
        <v>179</v>
      </c>
      <c r="I20" s="20" t="s">
        <v>179</v>
      </c>
      <c r="J20" s="21"/>
      <c r="K20" s="20">
        <v>65</v>
      </c>
      <c r="L20" s="20" t="str">
        <f>"58,4968"</f>
        <v>58,4968</v>
      </c>
      <c r="M20" s="20" t="s">
        <v>44</v>
      </c>
    </row>
    <row r="22" spans="1:12" ht="15">
      <c r="A22" s="47" t="s">
        <v>13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pans="1:13" ht="12.75">
      <c r="A23" s="20" t="s">
        <v>242</v>
      </c>
      <c r="B23" s="20" t="s">
        <v>243</v>
      </c>
      <c r="C23" s="20" t="s">
        <v>244</v>
      </c>
      <c r="D23" s="20" t="str">
        <f>"0,8579"</f>
        <v>0,8579</v>
      </c>
      <c r="E23" s="20" t="s">
        <v>71</v>
      </c>
      <c r="F23" s="20" t="s">
        <v>18</v>
      </c>
      <c r="G23" s="21" t="s">
        <v>245</v>
      </c>
      <c r="H23" s="21" t="s">
        <v>246</v>
      </c>
      <c r="I23" s="20" t="s">
        <v>246</v>
      </c>
      <c r="J23" s="21"/>
      <c r="K23" s="20">
        <v>47.5</v>
      </c>
      <c r="L23" s="20" t="str">
        <f>"40,7503"</f>
        <v>40,7503</v>
      </c>
      <c r="M23" s="20" t="s">
        <v>44</v>
      </c>
    </row>
    <row r="25" spans="1:12" ht="15">
      <c r="A25" s="47" t="s">
        <v>234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</row>
    <row r="26" spans="1:13" ht="12.75">
      <c r="A26" s="20" t="s">
        <v>247</v>
      </c>
      <c r="B26" s="20" t="s">
        <v>248</v>
      </c>
      <c r="C26" s="20" t="s">
        <v>249</v>
      </c>
      <c r="D26" s="20" t="str">
        <f>"0,8453"</f>
        <v>0,8453</v>
      </c>
      <c r="E26" s="20" t="s">
        <v>71</v>
      </c>
      <c r="F26" s="20" t="s">
        <v>250</v>
      </c>
      <c r="G26" s="21" t="s">
        <v>94</v>
      </c>
      <c r="H26" s="21" t="s">
        <v>94</v>
      </c>
      <c r="I26" s="21" t="s">
        <v>251</v>
      </c>
      <c r="J26" s="21"/>
      <c r="K26" s="20">
        <v>0</v>
      </c>
      <c r="L26" s="20" t="str">
        <f>"0,0000"</f>
        <v>0,0000</v>
      </c>
      <c r="M26" s="20" t="s">
        <v>44</v>
      </c>
    </row>
    <row r="28" spans="1:12" ht="15">
      <c r="A28" s="47" t="s">
        <v>74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</row>
    <row r="29" spans="1:13" ht="12.75">
      <c r="A29" s="24" t="s">
        <v>252</v>
      </c>
      <c r="B29" s="24" t="s">
        <v>253</v>
      </c>
      <c r="C29" s="24" t="s">
        <v>254</v>
      </c>
      <c r="D29" s="24" t="str">
        <f>"0,7610"</f>
        <v>0,7610</v>
      </c>
      <c r="E29" s="24" t="s">
        <v>71</v>
      </c>
      <c r="F29" s="24" t="s">
        <v>18</v>
      </c>
      <c r="G29" s="24" t="s">
        <v>94</v>
      </c>
      <c r="H29" s="24" t="s">
        <v>255</v>
      </c>
      <c r="I29" s="25" t="s">
        <v>27</v>
      </c>
      <c r="J29" s="25"/>
      <c r="K29" s="24">
        <v>107.5</v>
      </c>
      <c r="L29" s="24" t="str">
        <f>"81,8021"</f>
        <v>81,8021</v>
      </c>
      <c r="M29" s="24" t="s">
        <v>44</v>
      </c>
    </row>
    <row r="30" spans="1:13" ht="12.75">
      <c r="A30" s="28" t="s">
        <v>256</v>
      </c>
      <c r="B30" s="28" t="s">
        <v>257</v>
      </c>
      <c r="C30" s="28" t="s">
        <v>258</v>
      </c>
      <c r="D30" s="28" t="str">
        <f>"0,7691"</f>
        <v>0,7691</v>
      </c>
      <c r="E30" s="28" t="s">
        <v>71</v>
      </c>
      <c r="F30" s="28" t="s">
        <v>173</v>
      </c>
      <c r="G30" s="28" t="s">
        <v>91</v>
      </c>
      <c r="H30" s="29" t="s">
        <v>93</v>
      </c>
      <c r="I30" s="29" t="s">
        <v>93</v>
      </c>
      <c r="J30" s="29"/>
      <c r="K30" s="28">
        <v>115</v>
      </c>
      <c r="L30" s="28" t="str">
        <f>"88,4465"</f>
        <v>88,4465</v>
      </c>
      <c r="M30" s="28" t="s">
        <v>44</v>
      </c>
    </row>
    <row r="31" spans="1:13" ht="12.75">
      <c r="A31" s="26" t="s">
        <v>259</v>
      </c>
      <c r="B31" s="26" t="s">
        <v>260</v>
      </c>
      <c r="C31" s="26" t="s">
        <v>261</v>
      </c>
      <c r="D31" s="26" t="str">
        <f>"0,7630"</f>
        <v>0,7630</v>
      </c>
      <c r="E31" s="26" t="s">
        <v>71</v>
      </c>
      <c r="F31" s="26" t="s">
        <v>18</v>
      </c>
      <c r="G31" s="26" t="s">
        <v>255</v>
      </c>
      <c r="H31" s="26" t="s">
        <v>91</v>
      </c>
      <c r="I31" s="27" t="s">
        <v>92</v>
      </c>
      <c r="J31" s="27"/>
      <c r="K31" s="26">
        <v>115</v>
      </c>
      <c r="L31" s="26" t="str">
        <f>"87,7450"</f>
        <v>87,7450</v>
      </c>
      <c r="M31" s="26" t="s">
        <v>44</v>
      </c>
    </row>
    <row r="33" spans="1:12" ht="15">
      <c r="A33" s="47" t="s">
        <v>13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4" spans="1:13" ht="12.75">
      <c r="A34" s="24" t="s">
        <v>262</v>
      </c>
      <c r="B34" s="24" t="s">
        <v>263</v>
      </c>
      <c r="C34" s="24" t="s">
        <v>264</v>
      </c>
      <c r="D34" s="24" t="str">
        <f>"0,6955"</f>
        <v>0,6955</v>
      </c>
      <c r="E34" s="24" t="s">
        <v>71</v>
      </c>
      <c r="F34" s="24" t="s">
        <v>18</v>
      </c>
      <c r="G34" s="24" t="s">
        <v>134</v>
      </c>
      <c r="H34" s="25" t="s">
        <v>37</v>
      </c>
      <c r="I34" s="24" t="s">
        <v>37</v>
      </c>
      <c r="J34" s="25"/>
      <c r="K34" s="24">
        <v>140</v>
      </c>
      <c r="L34" s="24" t="str">
        <f>"97,3630"</f>
        <v>97,3630</v>
      </c>
      <c r="M34" s="24" t="s">
        <v>44</v>
      </c>
    </row>
    <row r="35" spans="1:13" ht="12.75">
      <c r="A35" s="28" t="s">
        <v>265</v>
      </c>
      <c r="B35" s="28" t="s">
        <v>266</v>
      </c>
      <c r="C35" s="28" t="s">
        <v>267</v>
      </c>
      <c r="D35" s="28" t="str">
        <f>"0,7132"</f>
        <v>0,7132</v>
      </c>
      <c r="E35" s="28" t="s">
        <v>71</v>
      </c>
      <c r="F35" s="28" t="s">
        <v>268</v>
      </c>
      <c r="G35" s="29" t="s">
        <v>134</v>
      </c>
      <c r="H35" s="28" t="s">
        <v>134</v>
      </c>
      <c r="I35" s="28" t="s">
        <v>37</v>
      </c>
      <c r="J35" s="29"/>
      <c r="K35" s="28">
        <v>140</v>
      </c>
      <c r="L35" s="28" t="str">
        <f>"99,8550"</f>
        <v>99,8550</v>
      </c>
      <c r="M35" s="28" t="s">
        <v>44</v>
      </c>
    </row>
    <row r="36" spans="1:13" ht="12.75">
      <c r="A36" s="28" t="s">
        <v>269</v>
      </c>
      <c r="B36" s="28" t="s">
        <v>270</v>
      </c>
      <c r="C36" s="28" t="s">
        <v>271</v>
      </c>
      <c r="D36" s="28" t="str">
        <f>"0,7064"</f>
        <v>0,7064</v>
      </c>
      <c r="E36" s="28" t="s">
        <v>71</v>
      </c>
      <c r="F36" s="28" t="s">
        <v>250</v>
      </c>
      <c r="G36" s="29" t="s">
        <v>27</v>
      </c>
      <c r="H36" s="29" t="s">
        <v>27</v>
      </c>
      <c r="I36" s="28" t="s">
        <v>272</v>
      </c>
      <c r="J36" s="29"/>
      <c r="K36" s="28">
        <v>117.5</v>
      </c>
      <c r="L36" s="28" t="str">
        <f>"83,0020"</f>
        <v>83,0020</v>
      </c>
      <c r="M36" s="28" t="s">
        <v>44</v>
      </c>
    </row>
    <row r="37" spans="1:13" ht="12.75">
      <c r="A37" s="28" t="s">
        <v>273</v>
      </c>
      <c r="B37" s="28" t="s">
        <v>274</v>
      </c>
      <c r="C37" s="28" t="s">
        <v>275</v>
      </c>
      <c r="D37" s="28" t="str">
        <f>"0,7027"</f>
        <v>0,7027</v>
      </c>
      <c r="E37" s="28" t="s">
        <v>71</v>
      </c>
      <c r="F37" s="28" t="s">
        <v>276</v>
      </c>
      <c r="G37" s="29" t="s">
        <v>26</v>
      </c>
      <c r="H37" s="28" t="s">
        <v>27</v>
      </c>
      <c r="I37" s="28" t="s">
        <v>272</v>
      </c>
      <c r="J37" s="29"/>
      <c r="K37" s="28">
        <v>117.5</v>
      </c>
      <c r="L37" s="28" t="str">
        <f>"82,5614"</f>
        <v>82,5614</v>
      </c>
      <c r="M37" s="28" t="s">
        <v>44</v>
      </c>
    </row>
    <row r="38" spans="1:13" ht="12.75">
      <c r="A38" s="28" t="s">
        <v>277</v>
      </c>
      <c r="B38" s="28" t="s">
        <v>278</v>
      </c>
      <c r="C38" s="28" t="s">
        <v>279</v>
      </c>
      <c r="D38" s="28" t="str">
        <f>"0,7019"</f>
        <v>0,7019</v>
      </c>
      <c r="E38" s="28" t="s">
        <v>71</v>
      </c>
      <c r="F38" s="28" t="s">
        <v>18</v>
      </c>
      <c r="G38" s="28" t="s">
        <v>25</v>
      </c>
      <c r="H38" s="29"/>
      <c r="I38" s="29"/>
      <c r="J38" s="29"/>
      <c r="K38" s="28">
        <v>95</v>
      </c>
      <c r="L38" s="28" t="str">
        <f>"66,6805"</f>
        <v>66,6805</v>
      </c>
      <c r="M38" s="28" t="s">
        <v>44</v>
      </c>
    </row>
    <row r="39" spans="1:13" ht="12.75">
      <c r="A39" s="28" t="s">
        <v>280</v>
      </c>
      <c r="B39" s="28" t="s">
        <v>281</v>
      </c>
      <c r="C39" s="28" t="s">
        <v>271</v>
      </c>
      <c r="D39" s="28" t="str">
        <f>"0,7064"</f>
        <v>0,7064</v>
      </c>
      <c r="E39" s="28" t="s">
        <v>71</v>
      </c>
      <c r="F39" s="28" t="s">
        <v>18</v>
      </c>
      <c r="G39" s="28" t="s">
        <v>174</v>
      </c>
      <c r="H39" s="28" t="s">
        <v>21</v>
      </c>
      <c r="I39" s="28" t="s">
        <v>175</v>
      </c>
      <c r="J39" s="29"/>
      <c r="K39" s="28">
        <v>87.5</v>
      </c>
      <c r="L39" s="28" t="str">
        <f>"61,8100"</f>
        <v>61,8100</v>
      </c>
      <c r="M39" s="28" t="s">
        <v>44</v>
      </c>
    </row>
    <row r="40" spans="1:13" ht="12.75">
      <c r="A40" s="26" t="s">
        <v>282</v>
      </c>
      <c r="B40" s="26" t="s">
        <v>283</v>
      </c>
      <c r="C40" s="26" t="s">
        <v>284</v>
      </c>
      <c r="D40" s="26" t="str">
        <f>"0,7157"</f>
        <v>0,7157</v>
      </c>
      <c r="E40" s="26" t="s">
        <v>71</v>
      </c>
      <c r="F40" s="26" t="s">
        <v>18</v>
      </c>
      <c r="G40" s="27" t="s">
        <v>255</v>
      </c>
      <c r="H40" s="27" t="s">
        <v>255</v>
      </c>
      <c r="I40" s="27" t="s">
        <v>255</v>
      </c>
      <c r="J40" s="27"/>
      <c r="K40" s="26">
        <v>0</v>
      </c>
      <c r="L40" s="26" t="str">
        <f>"0,0000"</f>
        <v>0,0000</v>
      </c>
      <c r="M40" s="26" t="s">
        <v>44</v>
      </c>
    </row>
    <row r="42" spans="1:12" ht="15">
      <c r="A42" s="47" t="s">
        <v>67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</row>
    <row r="43" spans="1:13" ht="12.75">
      <c r="A43" s="24" t="s">
        <v>285</v>
      </c>
      <c r="B43" s="24" t="s">
        <v>286</v>
      </c>
      <c r="C43" s="24" t="s">
        <v>287</v>
      </c>
      <c r="D43" s="24" t="str">
        <f>"0,6578"</f>
        <v>0,6578</v>
      </c>
      <c r="E43" s="24" t="s">
        <v>288</v>
      </c>
      <c r="F43" s="24" t="s">
        <v>289</v>
      </c>
      <c r="G43" s="25" t="s">
        <v>21</v>
      </c>
      <c r="H43" s="25" t="s">
        <v>86</v>
      </c>
      <c r="I43" s="25" t="s">
        <v>25</v>
      </c>
      <c r="J43" s="25"/>
      <c r="K43" s="24">
        <v>0</v>
      </c>
      <c r="L43" s="24" t="str">
        <f>"0,0000"</f>
        <v>0,0000</v>
      </c>
      <c r="M43" s="24" t="s">
        <v>44</v>
      </c>
    </row>
    <row r="44" spans="1:13" ht="12.75">
      <c r="A44" s="28" t="s">
        <v>290</v>
      </c>
      <c r="B44" s="28" t="s">
        <v>291</v>
      </c>
      <c r="C44" s="28" t="s">
        <v>292</v>
      </c>
      <c r="D44" s="28" t="str">
        <f>"0,6773"</f>
        <v>0,6773</v>
      </c>
      <c r="E44" s="28" t="s">
        <v>71</v>
      </c>
      <c r="F44" s="28" t="s">
        <v>289</v>
      </c>
      <c r="G44" s="29" t="s">
        <v>94</v>
      </c>
      <c r="H44" s="28" t="s">
        <v>91</v>
      </c>
      <c r="I44" s="29" t="s">
        <v>293</v>
      </c>
      <c r="J44" s="29"/>
      <c r="K44" s="28">
        <v>115</v>
      </c>
      <c r="L44" s="28" t="str">
        <f>"77,8952"</f>
        <v>77,8952</v>
      </c>
      <c r="M44" s="28" t="s">
        <v>44</v>
      </c>
    </row>
    <row r="45" spans="1:13" ht="12.75">
      <c r="A45" s="28" t="s">
        <v>294</v>
      </c>
      <c r="B45" s="28" t="s">
        <v>295</v>
      </c>
      <c r="C45" s="28" t="s">
        <v>296</v>
      </c>
      <c r="D45" s="28" t="str">
        <f>"0,6518"</f>
        <v>0,6518</v>
      </c>
      <c r="E45" s="28" t="s">
        <v>71</v>
      </c>
      <c r="F45" s="28" t="s">
        <v>289</v>
      </c>
      <c r="G45" s="28" t="s">
        <v>99</v>
      </c>
      <c r="H45" s="29" t="s">
        <v>185</v>
      </c>
      <c r="I45" s="28" t="s">
        <v>185</v>
      </c>
      <c r="J45" s="29"/>
      <c r="K45" s="28">
        <v>145</v>
      </c>
      <c r="L45" s="28" t="str">
        <f>"94,5182"</f>
        <v>94,5182</v>
      </c>
      <c r="M45" s="28" t="s">
        <v>44</v>
      </c>
    </row>
    <row r="46" spans="1:13" ht="12.75">
      <c r="A46" s="28" t="s">
        <v>297</v>
      </c>
      <c r="B46" s="28" t="s">
        <v>298</v>
      </c>
      <c r="C46" s="28" t="s">
        <v>299</v>
      </c>
      <c r="D46" s="28" t="str">
        <f>"0,6618"</f>
        <v>0,6618</v>
      </c>
      <c r="E46" s="28" t="s">
        <v>71</v>
      </c>
      <c r="F46" s="28" t="s">
        <v>300</v>
      </c>
      <c r="G46" s="29" t="s">
        <v>185</v>
      </c>
      <c r="H46" s="28" t="s">
        <v>38</v>
      </c>
      <c r="I46" s="29" t="s">
        <v>39</v>
      </c>
      <c r="J46" s="29"/>
      <c r="K46" s="28">
        <v>150</v>
      </c>
      <c r="L46" s="28" t="str">
        <f>"99,2625"</f>
        <v>99,2625</v>
      </c>
      <c r="M46" s="28" t="s">
        <v>44</v>
      </c>
    </row>
    <row r="47" spans="1:13" ht="12.75">
      <c r="A47" s="28" t="s">
        <v>301</v>
      </c>
      <c r="B47" s="28" t="s">
        <v>302</v>
      </c>
      <c r="C47" s="28" t="s">
        <v>303</v>
      </c>
      <c r="D47" s="28" t="str">
        <f>"0,6670"</f>
        <v>0,6670</v>
      </c>
      <c r="E47" s="28" t="s">
        <v>71</v>
      </c>
      <c r="F47" s="28" t="s">
        <v>18</v>
      </c>
      <c r="G47" s="29" t="s">
        <v>93</v>
      </c>
      <c r="H47" s="28" t="s">
        <v>293</v>
      </c>
      <c r="I47" s="28" t="s">
        <v>99</v>
      </c>
      <c r="J47" s="29"/>
      <c r="K47" s="28">
        <v>130</v>
      </c>
      <c r="L47" s="28" t="str">
        <f>"86,7100"</f>
        <v>86,7100</v>
      </c>
      <c r="M47" s="28" t="s">
        <v>44</v>
      </c>
    </row>
    <row r="48" spans="1:13" ht="12.75">
      <c r="A48" s="28" t="s">
        <v>304</v>
      </c>
      <c r="B48" s="28" t="s">
        <v>305</v>
      </c>
      <c r="C48" s="28" t="s">
        <v>306</v>
      </c>
      <c r="D48" s="28" t="str">
        <f>"0,6600"</f>
        <v>0,6600</v>
      </c>
      <c r="E48" s="28" t="s">
        <v>71</v>
      </c>
      <c r="F48" s="28" t="s">
        <v>18</v>
      </c>
      <c r="G48" s="29" t="s">
        <v>92</v>
      </c>
      <c r="H48" s="29" t="s">
        <v>307</v>
      </c>
      <c r="I48" s="28" t="s">
        <v>93</v>
      </c>
      <c r="J48" s="29"/>
      <c r="K48" s="28">
        <v>125</v>
      </c>
      <c r="L48" s="28" t="str">
        <f>"82,5062"</f>
        <v>82,5062</v>
      </c>
      <c r="M48" s="28" t="s">
        <v>44</v>
      </c>
    </row>
    <row r="49" spans="1:13" ht="12.75">
      <c r="A49" s="26" t="s">
        <v>308</v>
      </c>
      <c r="B49" s="26" t="s">
        <v>309</v>
      </c>
      <c r="C49" s="26" t="s">
        <v>310</v>
      </c>
      <c r="D49" s="26" t="str">
        <f>"0,6956"</f>
        <v>0,6956</v>
      </c>
      <c r="E49" s="26" t="s">
        <v>288</v>
      </c>
      <c r="F49" s="26" t="s">
        <v>289</v>
      </c>
      <c r="G49" s="26" t="s">
        <v>293</v>
      </c>
      <c r="H49" s="26" t="s">
        <v>134</v>
      </c>
      <c r="I49" s="27" t="s">
        <v>37</v>
      </c>
      <c r="J49" s="27"/>
      <c r="K49" s="26">
        <v>135</v>
      </c>
      <c r="L49" s="26" t="str">
        <f>"93,9044"</f>
        <v>93,9044</v>
      </c>
      <c r="M49" s="26" t="s">
        <v>44</v>
      </c>
    </row>
    <row r="51" spans="1:12" ht="15">
      <c r="A51" s="47" t="s">
        <v>95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</row>
    <row r="52" spans="1:13" ht="12.75">
      <c r="A52" s="24" t="s">
        <v>311</v>
      </c>
      <c r="B52" s="24" t="s">
        <v>312</v>
      </c>
      <c r="C52" s="24" t="s">
        <v>313</v>
      </c>
      <c r="D52" s="24" t="str">
        <f>"0,6295"</f>
        <v>0,6295</v>
      </c>
      <c r="E52" s="24" t="s">
        <v>71</v>
      </c>
      <c r="F52" s="24" t="s">
        <v>314</v>
      </c>
      <c r="G52" s="25" t="s">
        <v>39</v>
      </c>
      <c r="H52" s="24" t="s">
        <v>39</v>
      </c>
      <c r="I52" s="24" t="s">
        <v>118</v>
      </c>
      <c r="J52" s="25"/>
      <c r="K52" s="24">
        <v>160</v>
      </c>
      <c r="L52" s="24" t="str">
        <f>"100,7120"</f>
        <v>100,7120</v>
      </c>
      <c r="M52" s="24" t="s">
        <v>44</v>
      </c>
    </row>
    <row r="53" spans="1:13" ht="12.75">
      <c r="A53" s="28" t="s">
        <v>315</v>
      </c>
      <c r="B53" s="28" t="s">
        <v>316</v>
      </c>
      <c r="C53" s="28" t="s">
        <v>317</v>
      </c>
      <c r="D53" s="28" t="str">
        <f>"0,6169"</f>
        <v>0,6169</v>
      </c>
      <c r="E53" s="28" t="s">
        <v>71</v>
      </c>
      <c r="F53" s="28" t="s">
        <v>318</v>
      </c>
      <c r="G53" s="28" t="s">
        <v>118</v>
      </c>
      <c r="H53" s="28" t="s">
        <v>130</v>
      </c>
      <c r="I53" s="29" t="s">
        <v>73</v>
      </c>
      <c r="J53" s="29"/>
      <c r="K53" s="28">
        <v>175</v>
      </c>
      <c r="L53" s="28" t="str">
        <f>"107,9488"</f>
        <v>107,9488</v>
      </c>
      <c r="M53" s="28" t="s">
        <v>44</v>
      </c>
    </row>
    <row r="54" spans="1:13" ht="12.75">
      <c r="A54" s="28" t="s">
        <v>319</v>
      </c>
      <c r="B54" s="28" t="s">
        <v>320</v>
      </c>
      <c r="C54" s="28" t="s">
        <v>321</v>
      </c>
      <c r="D54" s="28" t="str">
        <f>"0,6157"</f>
        <v>0,6157</v>
      </c>
      <c r="E54" s="28" t="s">
        <v>71</v>
      </c>
      <c r="F54" s="28" t="s">
        <v>18</v>
      </c>
      <c r="G54" s="29" t="s">
        <v>168</v>
      </c>
      <c r="H54" s="29" t="s">
        <v>168</v>
      </c>
      <c r="I54" s="28" t="s">
        <v>168</v>
      </c>
      <c r="J54" s="29"/>
      <c r="K54" s="28">
        <v>132.5</v>
      </c>
      <c r="L54" s="28" t="str">
        <f>"81,5803"</f>
        <v>81,5803</v>
      </c>
      <c r="M54" s="28" t="s">
        <v>44</v>
      </c>
    </row>
    <row r="55" spans="1:13" ht="12.75">
      <c r="A55" s="28" t="s">
        <v>322</v>
      </c>
      <c r="B55" s="28" t="s">
        <v>323</v>
      </c>
      <c r="C55" s="28" t="s">
        <v>324</v>
      </c>
      <c r="D55" s="28" t="str">
        <f>"0,6153"</f>
        <v>0,6153</v>
      </c>
      <c r="E55" s="28" t="s">
        <v>71</v>
      </c>
      <c r="F55" s="28" t="s">
        <v>325</v>
      </c>
      <c r="G55" s="28" t="s">
        <v>118</v>
      </c>
      <c r="H55" s="29" t="s">
        <v>130</v>
      </c>
      <c r="I55" s="28" t="s">
        <v>130</v>
      </c>
      <c r="J55" s="29"/>
      <c r="K55" s="28">
        <v>175</v>
      </c>
      <c r="L55" s="28" t="str">
        <f>"107,6775"</f>
        <v>107,6775</v>
      </c>
      <c r="M55" s="28" t="s">
        <v>44</v>
      </c>
    </row>
    <row r="56" spans="1:13" ht="12.75">
      <c r="A56" s="28" t="s">
        <v>326</v>
      </c>
      <c r="B56" s="28" t="s">
        <v>327</v>
      </c>
      <c r="C56" s="28" t="s">
        <v>328</v>
      </c>
      <c r="D56" s="28" t="str">
        <f>"0,6149"</f>
        <v>0,6149</v>
      </c>
      <c r="E56" s="28" t="s">
        <v>71</v>
      </c>
      <c r="F56" s="28" t="s">
        <v>18</v>
      </c>
      <c r="G56" s="28" t="s">
        <v>124</v>
      </c>
      <c r="H56" s="28" t="s">
        <v>119</v>
      </c>
      <c r="I56" s="28" t="s">
        <v>130</v>
      </c>
      <c r="J56" s="29"/>
      <c r="K56" s="28">
        <v>175</v>
      </c>
      <c r="L56" s="28" t="str">
        <f>"107,6075"</f>
        <v>107,6075</v>
      </c>
      <c r="M56" s="28" t="s">
        <v>44</v>
      </c>
    </row>
    <row r="57" spans="1:13" ht="12.75">
      <c r="A57" s="28" t="s">
        <v>329</v>
      </c>
      <c r="B57" s="28" t="s">
        <v>330</v>
      </c>
      <c r="C57" s="28" t="s">
        <v>331</v>
      </c>
      <c r="D57" s="28" t="str">
        <f>"0,6230"</f>
        <v>0,6230</v>
      </c>
      <c r="E57" s="28" t="s">
        <v>71</v>
      </c>
      <c r="F57" s="28" t="s">
        <v>332</v>
      </c>
      <c r="G57" s="28" t="s">
        <v>38</v>
      </c>
      <c r="H57" s="28" t="s">
        <v>118</v>
      </c>
      <c r="I57" s="28" t="s">
        <v>124</v>
      </c>
      <c r="J57" s="29"/>
      <c r="K57" s="28">
        <v>165</v>
      </c>
      <c r="L57" s="28" t="str">
        <f>"102,7950"</f>
        <v>102,7950</v>
      </c>
      <c r="M57" s="28" t="s">
        <v>44</v>
      </c>
    </row>
    <row r="58" spans="1:13" ht="12.75">
      <c r="A58" s="28" t="s">
        <v>333</v>
      </c>
      <c r="B58" s="28" t="s">
        <v>334</v>
      </c>
      <c r="C58" s="28" t="s">
        <v>335</v>
      </c>
      <c r="D58" s="28" t="str">
        <f>"0,6165"</f>
        <v>0,6165</v>
      </c>
      <c r="E58" s="28" t="s">
        <v>71</v>
      </c>
      <c r="F58" s="28" t="s">
        <v>18</v>
      </c>
      <c r="G58" s="28" t="s">
        <v>168</v>
      </c>
      <c r="H58" s="28" t="s">
        <v>135</v>
      </c>
      <c r="I58" s="29" t="s">
        <v>186</v>
      </c>
      <c r="J58" s="29"/>
      <c r="K58" s="28">
        <v>142.5</v>
      </c>
      <c r="L58" s="28" t="str">
        <f>"87,8441"</f>
        <v>87,8441</v>
      </c>
      <c r="M58" s="28" t="s">
        <v>44</v>
      </c>
    </row>
    <row r="59" spans="1:13" ht="12.75">
      <c r="A59" s="28" t="s">
        <v>336</v>
      </c>
      <c r="B59" s="28" t="s">
        <v>337</v>
      </c>
      <c r="C59" s="28" t="s">
        <v>338</v>
      </c>
      <c r="D59" s="28" t="str">
        <f>"0,6217"</f>
        <v>0,6217</v>
      </c>
      <c r="E59" s="28" t="s">
        <v>71</v>
      </c>
      <c r="F59" s="28" t="s">
        <v>18</v>
      </c>
      <c r="G59" s="29" t="s">
        <v>27</v>
      </c>
      <c r="H59" s="28" t="s">
        <v>27</v>
      </c>
      <c r="I59" s="29"/>
      <c r="J59" s="29"/>
      <c r="K59" s="28">
        <v>110</v>
      </c>
      <c r="L59" s="28" t="str">
        <f>"68,3925"</f>
        <v>68,3925</v>
      </c>
      <c r="M59" s="28" t="s">
        <v>44</v>
      </c>
    </row>
    <row r="60" spans="1:13" ht="12.75">
      <c r="A60" s="26" t="s">
        <v>339</v>
      </c>
      <c r="B60" s="26" t="s">
        <v>340</v>
      </c>
      <c r="C60" s="26" t="s">
        <v>341</v>
      </c>
      <c r="D60" s="26" t="str">
        <f>"0,8561"</f>
        <v>0,8561</v>
      </c>
      <c r="E60" s="26" t="s">
        <v>71</v>
      </c>
      <c r="F60" s="26" t="s">
        <v>18</v>
      </c>
      <c r="G60" s="26" t="s">
        <v>92</v>
      </c>
      <c r="H60" s="27" t="s">
        <v>93</v>
      </c>
      <c r="I60" s="27" t="s">
        <v>93</v>
      </c>
      <c r="J60" s="27"/>
      <c r="K60" s="26">
        <v>120</v>
      </c>
      <c r="L60" s="26" t="str">
        <f>"102,7282"</f>
        <v>102,7282</v>
      </c>
      <c r="M60" s="26" t="s">
        <v>44</v>
      </c>
    </row>
    <row r="62" spans="1:12" ht="15">
      <c r="A62" s="47" t="s">
        <v>100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</row>
    <row r="63" spans="1:13" ht="12.75">
      <c r="A63" s="24" t="s">
        <v>342</v>
      </c>
      <c r="B63" s="24" t="s">
        <v>343</v>
      </c>
      <c r="C63" s="24" t="s">
        <v>344</v>
      </c>
      <c r="D63" s="24" t="str">
        <f>"0,5838"</f>
        <v>0,5838</v>
      </c>
      <c r="E63" s="24" t="s">
        <v>71</v>
      </c>
      <c r="F63" s="24" t="s">
        <v>184</v>
      </c>
      <c r="G63" s="24" t="s">
        <v>186</v>
      </c>
      <c r="H63" s="25" t="s">
        <v>345</v>
      </c>
      <c r="I63" s="25" t="s">
        <v>345</v>
      </c>
      <c r="J63" s="25"/>
      <c r="K63" s="24">
        <v>152.5</v>
      </c>
      <c r="L63" s="24" t="str">
        <f>"89,0295"</f>
        <v>89,0295</v>
      </c>
      <c r="M63" s="24" t="s">
        <v>44</v>
      </c>
    </row>
    <row r="64" spans="1:13" ht="12.75">
      <c r="A64" s="28" t="s">
        <v>346</v>
      </c>
      <c r="B64" s="28" t="s">
        <v>347</v>
      </c>
      <c r="C64" s="28" t="s">
        <v>348</v>
      </c>
      <c r="D64" s="28" t="str">
        <f>"0,5864"</f>
        <v>0,5864</v>
      </c>
      <c r="E64" s="28" t="s">
        <v>71</v>
      </c>
      <c r="F64" s="28" t="s">
        <v>349</v>
      </c>
      <c r="G64" s="28" t="s">
        <v>99</v>
      </c>
      <c r="H64" s="29" t="s">
        <v>134</v>
      </c>
      <c r="I64" s="28" t="s">
        <v>37</v>
      </c>
      <c r="J64" s="29"/>
      <c r="K64" s="28">
        <v>140</v>
      </c>
      <c r="L64" s="28" t="str">
        <f>"82,0890"</f>
        <v>82,0890</v>
      </c>
      <c r="M64" s="28" t="s">
        <v>44</v>
      </c>
    </row>
    <row r="65" spans="1:13" ht="12.75">
      <c r="A65" s="26" t="s">
        <v>350</v>
      </c>
      <c r="B65" s="26" t="s">
        <v>351</v>
      </c>
      <c r="C65" s="26" t="s">
        <v>352</v>
      </c>
      <c r="D65" s="26" t="str">
        <f>"0,5961"</f>
        <v>0,5961</v>
      </c>
      <c r="E65" s="26" t="s">
        <v>71</v>
      </c>
      <c r="F65" s="26" t="s">
        <v>18</v>
      </c>
      <c r="G65" s="27" t="s">
        <v>134</v>
      </c>
      <c r="H65" s="27" t="s">
        <v>134</v>
      </c>
      <c r="I65" s="27" t="s">
        <v>134</v>
      </c>
      <c r="J65" s="27"/>
      <c r="K65" s="26">
        <v>0</v>
      </c>
      <c r="L65" s="26" t="str">
        <f>"0,0000"</f>
        <v>0,0000</v>
      </c>
      <c r="M65" s="26" t="s">
        <v>44</v>
      </c>
    </row>
    <row r="67" spans="1:12" ht="15">
      <c r="A67" s="47" t="s">
        <v>30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</row>
    <row r="68" spans="1:13" ht="12.75">
      <c r="A68" s="24" t="s">
        <v>353</v>
      </c>
      <c r="B68" s="24" t="s">
        <v>354</v>
      </c>
      <c r="C68" s="24" t="s">
        <v>355</v>
      </c>
      <c r="D68" s="24" t="str">
        <f>"0,5852"</f>
        <v>0,5852</v>
      </c>
      <c r="E68" s="24" t="s">
        <v>71</v>
      </c>
      <c r="F68" s="24" t="s">
        <v>18</v>
      </c>
      <c r="G68" s="25" t="s">
        <v>345</v>
      </c>
      <c r="H68" s="25" t="s">
        <v>345</v>
      </c>
      <c r="I68" s="25" t="s">
        <v>345</v>
      </c>
      <c r="J68" s="25"/>
      <c r="K68" s="24">
        <v>0</v>
      </c>
      <c r="L68" s="24" t="str">
        <f>"0,0000"</f>
        <v>0,0000</v>
      </c>
      <c r="M68" s="24" t="s">
        <v>44</v>
      </c>
    </row>
    <row r="69" spans="1:13" ht="12.75">
      <c r="A69" s="26" t="s">
        <v>356</v>
      </c>
      <c r="B69" s="26" t="s">
        <v>357</v>
      </c>
      <c r="C69" s="26" t="s">
        <v>358</v>
      </c>
      <c r="D69" s="26" t="str">
        <f>"0,6376"</f>
        <v>0,6376</v>
      </c>
      <c r="E69" s="26" t="s">
        <v>17</v>
      </c>
      <c r="F69" s="26" t="s">
        <v>18</v>
      </c>
      <c r="G69" s="26" t="s">
        <v>118</v>
      </c>
      <c r="H69" s="27" t="s">
        <v>124</v>
      </c>
      <c r="I69" s="26" t="s">
        <v>124</v>
      </c>
      <c r="J69" s="27"/>
      <c r="K69" s="26">
        <v>165</v>
      </c>
      <c r="L69" s="26" t="str">
        <f>"105,2044"</f>
        <v>105,2044</v>
      </c>
      <c r="M69" s="26" t="s">
        <v>44</v>
      </c>
    </row>
    <row r="71" spans="1:12" ht="15">
      <c r="A71" s="47" t="s">
        <v>126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</row>
    <row r="72" spans="1:13" ht="12.75">
      <c r="A72" s="24" t="s">
        <v>359</v>
      </c>
      <c r="B72" s="24" t="s">
        <v>360</v>
      </c>
      <c r="C72" s="24" t="s">
        <v>361</v>
      </c>
      <c r="D72" s="24" t="str">
        <f>"0,5519"</f>
        <v>0,5519</v>
      </c>
      <c r="E72" s="24" t="s">
        <v>71</v>
      </c>
      <c r="F72" s="24" t="s">
        <v>18</v>
      </c>
      <c r="G72" s="24" t="s">
        <v>99</v>
      </c>
      <c r="H72" s="25" t="s">
        <v>37</v>
      </c>
      <c r="I72" s="25" t="s">
        <v>186</v>
      </c>
      <c r="J72" s="25"/>
      <c r="K72" s="24">
        <v>130</v>
      </c>
      <c r="L72" s="24" t="str">
        <f>"71,7405"</f>
        <v>71,7405</v>
      </c>
      <c r="M72" s="24" t="s">
        <v>44</v>
      </c>
    </row>
    <row r="73" spans="1:13" ht="12.75">
      <c r="A73" s="26" t="s">
        <v>362</v>
      </c>
      <c r="B73" s="26" t="s">
        <v>363</v>
      </c>
      <c r="C73" s="26" t="s">
        <v>364</v>
      </c>
      <c r="D73" s="26" t="str">
        <f>"0,6147"</f>
        <v>0,6147</v>
      </c>
      <c r="E73" s="26" t="s">
        <v>71</v>
      </c>
      <c r="F73" s="26" t="s">
        <v>18</v>
      </c>
      <c r="G73" s="26" t="s">
        <v>104</v>
      </c>
      <c r="H73" s="26" t="s">
        <v>130</v>
      </c>
      <c r="I73" s="27" t="s">
        <v>73</v>
      </c>
      <c r="J73" s="27"/>
      <c r="K73" s="26">
        <v>175</v>
      </c>
      <c r="L73" s="26" t="str">
        <f>"107,5742"</f>
        <v>107,5742</v>
      </c>
      <c r="M73" s="26" t="s">
        <v>44</v>
      </c>
    </row>
    <row r="75" ht="15">
      <c r="E75" s="22" t="s">
        <v>45</v>
      </c>
    </row>
    <row r="76" ht="15">
      <c r="E76" s="22" t="s">
        <v>46</v>
      </c>
    </row>
    <row r="77" ht="15">
      <c r="E77" s="22" t="s">
        <v>47</v>
      </c>
    </row>
    <row r="78" ht="15">
      <c r="E78" s="22" t="s">
        <v>48</v>
      </c>
    </row>
    <row r="79" ht="15">
      <c r="E79" s="22" t="s">
        <v>48</v>
      </c>
    </row>
    <row r="80" ht="15">
      <c r="E80" s="22" t="s">
        <v>49</v>
      </c>
    </row>
    <row r="81" ht="15">
      <c r="E81" s="22"/>
    </row>
    <row r="83" spans="1:2" ht="18">
      <c r="A83" s="23" t="s">
        <v>50</v>
      </c>
      <c r="B83" s="23"/>
    </row>
    <row r="84" spans="1:2" ht="15">
      <c r="A84" s="30" t="s">
        <v>51</v>
      </c>
      <c r="B84" s="30"/>
    </row>
    <row r="85" spans="1:2" ht="14.25">
      <c r="A85" s="32" t="s">
        <v>139</v>
      </c>
      <c r="B85" s="33"/>
    </row>
    <row r="86" spans="1:5" ht="15">
      <c r="A86" s="34" t="s">
        <v>53</v>
      </c>
      <c r="B86" s="34" t="s">
        <v>54</v>
      </c>
      <c r="C86" s="34" t="s">
        <v>55</v>
      </c>
      <c r="D86" s="34" t="s">
        <v>56</v>
      </c>
      <c r="E86" s="34" t="s">
        <v>57</v>
      </c>
    </row>
    <row r="87" spans="1:5" ht="12.75">
      <c r="A87" s="31" t="s">
        <v>211</v>
      </c>
      <c r="B87" s="19" t="s">
        <v>142</v>
      </c>
      <c r="C87" s="19" t="s">
        <v>365</v>
      </c>
      <c r="D87" s="19" t="s">
        <v>167</v>
      </c>
      <c r="E87" s="35" t="s">
        <v>366</v>
      </c>
    </row>
    <row r="88" spans="1:5" ht="12.75">
      <c r="A88" s="31" t="s">
        <v>239</v>
      </c>
      <c r="B88" s="19" t="s">
        <v>367</v>
      </c>
      <c r="C88" s="19" t="s">
        <v>143</v>
      </c>
      <c r="D88" s="19" t="s">
        <v>179</v>
      </c>
      <c r="E88" s="35" t="s">
        <v>368</v>
      </c>
    </row>
    <row r="90" spans="1:2" ht="14.25">
      <c r="A90" s="32" t="s">
        <v>369</v>
      </c>
      <c r="B90" s="33"/>
    </row>
    <row r="91" spans="1:5" ht="15">
      <c r="A91" s="34" t="s">
        <v>53</v>
      </c>
      <c r="B91" s="34" t="s">
        <v>54</v>
      </c>
      <c r="C91" s="34" t="s">
        <v>55</v>
      </c>
      <c r="D91" s="34" t="s">
        <v>56</v>
      </c>
      <c r="E91" s="34" t="s">
        <v>57</v>
      </c>
    </row>
    <row r="92" spans="1:5" ht="12.75">
      <c r="A92" s="31" t="s">
        <v>216</v>
      </c>
      <c r="B92" s="19" t="s">
        <v>370</v>
      </c>
      <c r="C92" s="19" t="s">
        <v>371</v>
      </c>
      <c r="D92" s="19" t="s">
        <v>81</v>
      </c>
      <c r="E92" s="35" t="s">
        <v>372</v>
      </c>
    </row>
    <row r="94" spans="1:2" ht="14.25">
      <c r="A94" s="32" t="s">
        <v>62</v>
      </c>
      <c r="B94" s="33"/>
    </row>
    <row r="95" spans="1:5" ht="15">
      <c r="A95" s="34" t="s">
        <v>53</v>
      </c>
      <c r="B95" s="34" t="s">
        <v>54</v>
      </c>
      <c r="C95" s="34" t="s">
        <v>55</v>
      </c>
      <c r="D95" s="34" t="s">
        <v>56</v>
      </c>
      <c r="E95" s="34" t="s">
        <v>57</v>
      </c>
    </row>
    <row r="96" spans="1:5" ht="12.75">
      <c r="A96" s="31" t="s">
        <v>220</v>
      </c>
      <c r="B96" s="19" t="s">
        <v>63</v>
      </c>
      <c r="C96" s="19" t="s">
        <v>371</v>
      </c>
      <c r="D96" s="19" t="s">
        <v>82</v>
      </c>
      <c r="E96" s="35" t="s">
        <v>373</v>
      </c>
    </row>
    <row r="97" spans="1:5" ht="12.75">
      <c r="A97" s="31" t="s">
        <v>225</v>
      </c>
      <c r="B97" s="19" t="s">
        <v>63</v>
      </c>
      <c r="C97" s="19" t="s">
        <v>374</v>
      </c>
      <c r="D97" s="19" t="s">
        <v>81</v>
      </c>
      <c r="E97" s="35" t="s">
        <v>375</v>
      </c>
    </row>
    <row r="98" spans="1:5" ht="12.75">
      <c r="A98" s="31" t="s">
        <v>235</v>
      </c>
      <c r="B98" s="19" t="s">
        <v>63</v>
      </c>
      <c r="C98" s="19" t="s">
        <v>376</v>
      </c>
      <c r="D98" s="19" t="s">
        <v>167</v>
      </c>
      <c r="E98" s="35" t="s">
        <v>377</v>
      </c>
    </row>
    <row r="99" spans="1:5" ht="12.75">
      <c r="A99" s="31" t="s">
        <v>242</v>
      </c>
      <c r="B99" s="19" t="s">
        <v>63</v>
      </c>
      <c r="C99" s="19" t="s">
        <v>59</v>
      </c>
      <c r="D99" s="19" t="s">
        <v>246</v>
      </c>
      <c r="E99" s="35" t="s">
        <v>378</v>
      </c>
    </row>
    <row r="100" spans="1:5" ht="12.75">
      <c r="A100" s="31" t="s">
        <v>228</v>
      </c>
      <c r="B100" s="19" t="s">
        <v>63</v>
      </c>
      <c r="C100" s="19" t="s">
        <v>374</v>
      </c>
      <c r="D100" s="19" t="s">
        <v>232</v>
      </c>
      <c r="E100" s="35" t="s">
        <v>379</v>
      </c>
    </row>
    <row r="103" spans="1:2" ht="15">
      <c r="A103" s="30" t="s">
        <v>61</v>
      </c>
      <c r="B103" s="30"/>
    </row>
    <row r="104" spans="1:2" ht="14.25">
      <c r="A104" s="32" t="s">
        <v>139</v>
      </c>
      <c r="B104" s="33"/>
    </row>
    <row r="105" spans="1:5" ht="15">
      <c r="A105" s="34" t="s">
        <v>53</v>
      </c>
      <c r="B105" s="34" t="s">
        <v>54</v>
      </c>
      <c r="C105" s="34" t="s">
        <v>55</v>
      </c>
      <c r="D105" s="34" t="s">
        <v>56</v>
      </c>
      <c r="E105" s="34" t="s">
        <v>57</v>
      </c>
    </row>
    <row r="106" spans="1:5" ht="12.75">
      <c r="A106" s="31" t="s">
        <v>311</v>
      </c>
      <c r="B106" s="19" t="s">
        <v>142</v>
      </c>
      <c r="C106" s="19" t="s">
        <v>157</v>
      </c>
      <c r="D106" s="19" t="s">
        <v>118</v>
      </c>
      <c r="E106" s="35" t="s">
        <v>380</v>
      </c>
    </row>
    <row r="107" spans="1:5" ht="12.75">
      <c r="A107" s="31" t="s">
        <v>262</v>
      </c>
      <c r="B107" s="19" t="s">
        <v>140</v>
      </c>
      <c r="C107" s="19" t="s">
        <v>59</v>
      </c>
      <c r="D107" s="19" t="s">
        <v>37</v>
      </c>
      <c r="E107" s="35" t="s">
        <v>381</v>
      </c>
    </row>
    <row r="108" spans="1:5" ht="12.75">
      <c r="A108" s="31" t="s">
        <v>256</v>
      </c>
      <c r="B108" s="19" t="s">
        <v>140</v>
      </c>
      <c r="C108" s="19" t="s">
        <v>143</v>
      </c>
      <c r="D108" s="19" t="s">
        <v>91</v>
      </c>
      <c r="E108" s="35" t="s">
        <v>382</v>
      </c>
    </row>
    <row r="109" spans="1:5" ht="12.75">
      <c r="A109" s="31" t="s">
        <v>252</v>
      </c>
      <c r="B109" s="19" t="s">
        <v>142</v>
      </c>
      <c r="C109" s="19" t="s">
        <v>143</v>
      </c>
      <c r="D109" s="19" t="s">
        <v>255</v>
      </c>
      <c r="E109" s="35" t="s">
        <v>383</v>
      </c>
    </row>
    <row r="110" spans="1:5" ht="12.75">
      <c r="A110" s="31" t="s">
        <v>290</v>
      </c>
      <c r="B110" s="19" t="s">
        <v>367</v>
      </c>
      <c r="C110" s="19" t="s">
        <v>148</v>
      </c>
      <c r="D110" s="19" t="s">
        <v>91</v>
      </c>
      <c r="E110" s="35" t="s">
        <v>384</v>
      </c>
    </row>
    <row r="112" spans="1:2" ht="14.25">
      <c r="A112" s="32" t="s">
        <v>369</v>
      </c>
      <c r="B112" s="33"/>
    </row>
    <row r="113" spans="1:5" ht="15">
      <c r="A113" s="34" t="s">
        <v>53</v>
      </c>
      <c r="B113" s="34" t="s">
        <v>54</v>
      </c>
      <c r="C113" s="34" t="s">
        <v>55</v>
      </c>
      <c r="D113" s="34" t="s">
        <v>56</v>
      </c>
      <c r="E113" s="34" t="s">
        <v>57</v>
      </c>
    </row>
    <row r="114" spans="1:5" ht="12.75">
      <c r="A114" s="31" t="s">
        <v>315</v>
      </c>
      <c r="B114" s="19" t="s">
        <v>370</v>
      </c>
      <c r="C114" s="19" t="s">
        <v>157</v>
      </c>
      <c r="D114" s="19" t="s">
        <v>130</v>
      </c>
      <c r="E114" s="35" t="s">
        <v>385</v>
      </c>
    </row>
    <row r="115" spans="1:5" ht="12.75">
      <c r="A115" s="31" t="s">
        <v>294</v>
      </c>
      <c r="B115" s="19" t="s">
        <v>370</v>
      </c>
      <c r="C115" s="19" t="s">
        <v>148</v>
      </c>
      <c r="D115" s="19" t="s">
        <v>185</v>
      </c>
      <c r="E115" s="35" t="s">
        <v>386</v>
      </c>
    </row>
    <row r="116" spans="1:5" ht="12.75">
      <c r="A116" s="31" t="s">
        <v>319</v>
      </c>
      <c r="B116" s="19" t="s">
        <v>370</v>
      </c>
      <c r="C116" s="19" t="s">
        <v>157</v>
      </c>
      <c r="D116" s="19" t="s">
        <v>168</v>
      </c>
      <c r="E116" s="35" t="s">
        <v>387</v>
      </c>
    </row>
    <row r="118" spans="1:2" ht="14.25">
      <c r="A118" s="32" t="s">
        <v>62</v>
      </c>
      <c r="B118" s="33"/>
    </row>
    <row r="119" spans="1:5" ht="15">
      <c r="A119" s="34" t="s">
        <v>53</v>
      </c>
      <c r="B119" s="34" t="s">
        <v>54</v>
      </c>
      <c r="C119" s="34" t="s">
        <v>55</v>
      </c>
      <c r="D119" s="34" t="s">
        <v>56</v>
      </c>
      <c r="E119" s="34" t="s">
        <v>57</v>
      </c>
    </row>
    <row r="120" spans="1:5" ht="12.75">
      <c r="A120" s="31" t="s">
        <v>322</v>
      </c>
      <c r="B120" s="19" t="s">
        <v>63</v>
      </c>
      <c r="C120" s="19" t="s">
        <v>157</v>
      </c>
      <c r="D120" s="19" t="s">
        <v>130</v>
      </c>
      <c r="E120" s="35" t="s">
        <v>388</v>
      </c>
    </row>
    <row r="121" spans="1:5" ht="12.75">
      <c r="A121" s="31" t="s">
        <v>326</v>
      </c>
      <c r="B121" s="19" t="s">
        <v>63</v>
      </c>
      <c r="C121" s="19" t="s">
        <v>157</v>
      </c>
      <c r="D121" s="19" t="s">
        <v>130</v>
      </c>
      <c r="E121" s="35" t="s">
        <v>389</v>
      </c>
    </row>
    <row r="122" spans="1:5" ht="12.75">
      <c r="A122" s="31" t="s">
        <v>329</v>
      </c>
      <c r="B122" s="19" t="s">
        <v>63</v>
      </c>
      <c r="C122" s="19" t="s">
        <v>157</v>
      </c>
      <c r="D122" s="19" t="s">
        <v>124</v>
      </c>
      <c r="E122" s="35" t="s">
        <v>390</v>
      </c>
    </row>
    <row r="123" spans="1:5" ht="12.75">
      <c r="A123" s="31" t="s">
        <v>265</v>
      </c>
      <c r="B123" s="19" t="s">
        <v>63</v>
      </c>
      <c r="C123" s="19" t="s">
        <v>59</v>
      </c>
      <c r="D123" s="19" t="s">
        <v>37</v>
      </c>
      <c r="E123" s="35" t="s">
        <v>391</v>
      </c>
    </row>
    <row r="124" spans="1:5" ht="12.75">
      <c r="A124" s="31" t="s">
        <v>297</v>
      </c>
      <c r="B124" s="19" t="s">
        <v>63</v>
      </c>
      <c r="C124" s="19" t="s">
        <v>148</v>
      </c>
      <c r="D124" s="19" t="s">
        <v>38</v>
      </c>
      <c r="E124" s="35" t="s">
        <v>392</v>
      </c>
    </row>
    <row r="125" spans="1:5" ht="12.75">
      <c r="A125" s="31" t="s">
        <v>342</v>
      </c>
      <c r="B125" s="19" t="s">
        <v>63</v>
      </c>
      <c r="C125" s="19" t="s">
        <v>152</v>
      </c>
      <c r="D125" s="19" t="s">
        <v>186</v>
      </c>
      <c r="E125" s="35" t="s">
        <v>393</v>
      </c>
    </row>
    <row r="126" spans="1:5" ht="12.75">
      <c r="A126" s="31" t="s">
        <v>333</v>
      </c>
      <c r="B126" s="19" t="s">
        <v>63</v>
      </c>
      <c r="C126" s="19" t="s">
        <v>157</v>
      </c>
      <c r="D126" s="19" t="s">
        <v>135</v>
      </c>
      <c r="E126" s="35" t="s">
        <v>394</v>
      </c>
    </row>
    <row r="127" spans="1:5" ht="12.75">
      <c r="A127" s="31" t="s">
        <v>259</v>
      </c>
      <c r="B127" s="19" t="s">
        <v>63</v>
      </c>
      <c r="C127" s="19" t="s">
        <v>143</v>
      </c>
      <c r="D127" s="19" t="s">
        <v>91</v>
      </c>
      <c r="E127" s="35" t="s">
        <v>395</v>
      </c>
    </row>
    <row r="128" spans="1:5" ht="12.75">
      <c r="A128" s="31" t="s">
        <v>301</v>
      </c>
      <c r="B128" s="19" t="s">
        <v>63</v>
      </c>
      <c r="C128" s="19" t="s">
        <v>148</v>
      </c>
      <c r="D128" s="19" t="s">
        <v>99</v>
      </c>
      <c r="E128" s="35" t="s">
        <v>396</v>
      </c>
    </row>
    <row r="129" spans="1:5" ht="12.75">
      <c r="A129" s="31" t="s">
        <v>269</v>
      </c>
      <c r="B129" s="19" t="s">
        <v>63</v>
      </c>
      <c r="C129" s="19" t="s">
        <v>59</v>
      </c>
      <c r="D129" s="19" t="s">
        <v>272</v>
      </c>
      <c r="E129" s="35" t="s">
        <v>397</v>
      </c>
    </row>
    <row r="130" spans="1:5" ht="12.75">
      <c r="A130" s="31" t="s">
        <v>273</v>
      </c>
      <c r="B130" s="19" t="s">
        <v>63</v>
      </c>
      <c r="C130" s="19" t="s">
        <v>59</v>
      </c>
      <c r="D130" s="19" t="s">
        <v>272</v>
      </c>
      <c r="E130" s="35" t="s">
        <v>398</v>
      </c>
    </row>
    <row r="131" spans="1:5" ht="12.75">
      <c r="A131" s="31" t="s">
        <v>304</v>
      </c>
      <c r="B131" s="19" t="s">
        <v>63</v>
      </c>
      <c r="C131" s="19" t="s">
        <v>148</v>
      </c>
      <c r="D131" s="19" t="s">
        <v>93</v>
      </c>
      <c r="E131" s="35" t="s">
        <v>399</v>
      </c>
    </row>
    <row r="132" spans="1:5" ht="12.75">
      <c r="A132" s="31" t="s">
        <v>346</v>
      </c>
      <c r="B132" s="19" t="s">
        <v>63</v>
      </c>
      <c r="C132" s="19" t="s">
        <v>152</v>
      </c>
      <c r="D132" s="19" t="s">
        <v>37</v>
      </c>
      <c r="E132" s="35" t="s">
        <v>400</v>
      </c>
    </row>
    <row r="133" spans="1:5" ht="12.75">
      <c r="A133" s="31" t="s">
        <v>359</v>
      </c>
      <c r="B133" s="19" t="s">
        <v>63</v>
      </c>
      <c r="C133" s="19" t="s">
        <v>145</v>
      </c>
      <c r="D133" s="19" t="s">
        <v>99</v>
      </c>
      <c r="E133" s="35" t="s">
        <v>401</v>
      </c>
    </row>
    <row r="134" spans="1:5" ht="12.75">
      <c r="A134" s="31" t="s">
        <v>336</v>
      </c>
      <c r="B134" s="19" t="s">
        <v>63</v>
      </c>
      <c r="C134" s="19" t="s">
        <v>157</v>
      </c>
      <c r="D134" s="19" t="s">
        <v>27</v>
      </c>
      <c r="E134" s="35" t="s">
        <v>402</v>
      </c>
    </row>
    <row r="135" spans="1:5" ht="12.75">
      <c r="A135" s="31" t="s">
        <v>277</v>
      </c>
      <c r="B135" s="19" t="s">
        <v>63</v>
      </c>
      <c r="C135" s="19" t="s">
        <v>59</v>
      </c>
      <c r="D135" s="19" t="s">
        <v>25</v>
      </c>
      <c r="E135" s="35" t="s">
        <v>403</v>
      </c>
    </row>
    <row r="136" spans="1:5" ht="12.75">
      <c r="A136" s="31" t="s">
        <v>280</v>
      </c>
      <c r="B136" s="19" t="s">
        <v>63</v>
      </c>
      <c r="C136" s="19" t="s">
        <v>59</v>
      </c>
      <c r="D136" s="19" t="s">
        <v>175</v>
      </c>
      <c r="E136" s="35" t="s">
        <v>404</v>
      </c>
    </row>
    <row r="138" spans="1:2" ht="14.25">
      <c r="A138" s="32" t="s">
        <v>52</v>
      </c>
      <c r="B138" s="33"/>
    </row>
    <row r="139" spans="1:5" ht="15">
      <c r="A139" s="34" t="s">
        <v>53</v>
      </c>
      <c r="B139" s="34" t="s">
        <v>54</v>
      </c>
      <c r="C139" s="34" t="s">
        <v>55</v>
      </c>
      <c r="D139" s="34" t="s">
        <v>56</v>
      </c>
      <c r="E139" s="34" t="s">
        <v>57</v>
      </c>
    </row>
    <row r="140" spans="1:5" ht="12.75">
      <c r="A140" s="31" t="s">
        <v>362</v>
      </c>
      <c r="B140" s="19" t="s">
        <v>58</v>
      </c>
      <c r="C140" s="19" t="s">
        <v>145</v>
      </c>
      <c r="D140" s="19" t="s">
        <v>130</v>
      </c>
      <c r="E140" s="35" t="s">
        <v>405</v>
      </c>
    </row>
    <row r="141" spans="1:5" ht="12.75">
      <c r="A141" s="31" t="s">
        <v>356</v>
      </c>
      <c r="B141" s="19" t="s">
        <v>406</v>
      </c>
      <c r="C141" s="19" t="s">
        <v>64</v>
      </c>
      <c r="D141" s="19" t="s">
        <v>124</v>
      </c>
      <c r="E141" s="35" t="s">
        <v>407</v>
      </c>
    </row>
    <row r="142" spans="1:5" ht="12.75">
      <c r="A142" s="31" t="s">
        <v>339</v>
      </c>
      <c r="B142" s="19" t="s">
        <v>151</v>
      </c>
      <c r="C142" s="19" t="s">
        <v>157</v>
      </c>
      <c r="D142" s="19" t="s">
        <v>92</v>
      </c>
      <c r="E142" s="35" t="s">
        <v>408</v>
      </c>
    </row>
    <row r="143" spans="1:5" ht="12.75">
      <c r="A143" s="31" t="s">
        <v>308</v>
      </c>
      <c r="B143" s="19" t="s">
        <v>58</v>
      </c>
      <c r="C143" s="19" t="s">
        <v>148</v>
      </c>
      <c r="D143" s="19" t="s">
        <v>134</v>
      </c>
      <c r="E143" s="35" t="s">
        <v>409</v>
      </c>
    </row>
  </sheetData>
  <sheetProtection/>
  <mergeCells count="25">
    <mergeCell ref="A42:L42"/>
    <mergeCell ref="A51:L51"/>
    <mergeCell ref="A62:L62"/>
    <mergeCell ref="A67:L67"/>
    <mergeCell ref="A71:L71"/>
    <mergeCell ref="A16:L16"/>
    <mergeCell ref="A19:L19"/>
    <mergeCell ref="A22:L22"/>
    <mergeCell ref="A25:L25"/>
    <mergeCell ref="A28:L28"/>
    <mergeCell ref="A33:L33"/>
    <mergeCell ref="K3:K4"/>
    <mergeCell ref="L3:L4"/>
    <mergeCell ref="M3:M4"/>
    <mergeCell ref="A5:L5"/>
    <mergeCell ref="A8:L8"/>
    <mergeCell ref="A12:L12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4.75390625" style="19" bestFit="1" customWidth="1"/>
    <col min="2" max="2" width="26.625" style="19" bestFit="1" customWidth="1"/>
    <col min="3" max="3" width="10.125" style="19" bestFit="1" customWidth="1"/>
    <col min="4" max="4" width="8.25390625" style="19" bestFit="1" customWidth="1"/>
    <col min="5" max="5" width="21.75390625" style="19" bestFit="1" customWidth="1"/>
    <col min="6" max="6" width="7.75390625" style="19" bestFit="1" customWidth="1"/>
    <col min="7" max="9" width="5.625" style="19" bestFit="1" customWidth="1"/>
    <col min="10" max="10" width="4.25390625" style="19" bestFit="1" customWidth="1"/>
    <col min="11" max="11" width="7.75390625" style="19" bestFit="1" customWidth="1"/>
    <col min="12" max="12" width="8.625" style="19" bestFit="1" customWidth="1"/>
    <col min="13" max="13" width="8.25390625" style="19" bestFit="1" customWidth="1"/>
  </cols>
  <sheetData>
    <row r="1" spans="1:13" s="1" customFormat="1" ht="15" customHeight="1">
      <c r="A1" s="36" t="s">
        <v>691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1" customFormat="1" ht="81.7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2" customFormat="1" ht="12.75" customHeight="1">
      <c r="A3" s="42" t="s">
        <v>0</v>
      </c>
      <c r="B3" s="44" t="s">
        <v>12</v>
      </c>
      <c r="C3" s="46" t="s">
        <v>5</v>
      </c>
      <c r="D3" s="46" t="s">
        <v>10</v>
      </c>
      <c r="E3" s="46" t="s">
        <v>8</v>
      </c>
      <c r="F3" s="46" t="s">
        <v>11</v>
      </c>
      <c r="G3" s="46" t="s">
        <v>2</v>
      </c>
      <c r="H3" s="46"/>
      <c r="I3" s="46"/>
      <c r="J3" s="46"/>
      <c r="K3" s="46" t="s">
        <v>4</v>
      </c>
      <c r="L3" s="46" t="s">
        <v>7</v>
      </c>
      <c r="M3" s="48" t="s">
        <v>6</v>
      </c>
    </row>
    <row r="4" spans="1:13" s="2" customFormat="1" ht="21" customHeight="1" thickBot="1">
      <c r="A4" s="43"/>
      <c r="B4" s="45"/>
      <c r="C4" s="45"/>
      <c r="D4" s="45"/>
      <c r="E4" s="45"/>
      <c r="F4" s="45"/>
      <c r="G4" s="3">
        <v>1</v>
      </c>
      <c r="H4" s="3">
        <v>2</v>
      </c>
      <c r="I4" s="3">
        <v>3</v>
      </c>
      <c r="J4" s="3" t="s">
        <v>9</v>
      </c>
      <c r="K4" s="45"/>
      <c r="L4" s="45"/>
      <c r="M4" s="49"/>
    </row>
    <row r="5" spans="1:12" ht="15">
      <c r="A5" s="50" t="s">
        <v>210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12.75">
      <c r="A6" s="20" t="s">
        <v>211</v>
      </c>
      <c r="B6" s="20" t="s">
        <v>212</v>
      </c>
      <c r="C6" s="20" t="s">
        <v>213</v>
      </c>
      <c r="D6" s="20" t="str">
        <f>"1,1942"</f>
        <v>1,1942</v>
      </c>
      <c r="E6" s="20" t="s">
        <v>17</v>
      </c>
      <c r="F6" s="20" t="s">
        <v>18</v>
      </c>
      <c r="G6" s="20" t="s">
        <v>19</v>
      </c>
      <c r="H6" s="20" t="s">
        <v>553</v>
      </c>
      <c r="I6" s="20" t="s">
        <v>21</v>
      </c>
      <c r="J6" s="21"/>
      <c r="K6" s="20">
        <v>85</v>
      </c>
      <c r="L6" s="20" t="str">
        <f>"101,5070"</f>
        <v>101,5070</v>
      </c>
      <c r="M6" s="20" t="s">
        <v>44</v>
      </c>
    </row>
    <row r="8" spans="1:12" ht="15">
      <c r="A8" s="47" t="s">
        <v>67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3" ht="12.75">
      <c r="A9" s="20" t="s">
        <v>538</v>
      </c>
      <c r="B9" s="20" t="s">
        <v>539</v>
      </c>
      <c r="C9" s="20" t="s">
        <v>540</v>
      </c>
      <c r="D9" s="20" t="str">
        <f>"0,6487"</f>
        <v>0,6487</v>
      </c>
      <c r="E9" s="20" t="s">
        <v>17</v>
      </c>
      <c r="F9" s="20" t="s">
        <v>18</v>
      </c>
      <c r="G9" s="20" t="s">
        <v>105</v>
      </c>
      <c r="H9" s="20" t="s">
        <v>34</v>
      </c>
      <c r="I9" s="20" t="s">
        <v>40</v>
      </c>
      <c r="J9" s="21"/>
      <c r="K9" s="20">
        <v>230</v>
      </c>
      <c r="L9" s="20" t="str">
        <f>"149,2010"</f>
        <v>149,2010</v>
      </c>
      <c r="M9" s="20" t="s">
        <v>44</v>
      </c>
    </row>
    <row r="11" spans="1:12" ht="15">
      <c r="A11" s="47" t="s">
        <v>554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</row>
    <row r="12" spans="1:13" ht="12.75">
      <c r="A12" s="20" t="s">
        <v>555</v>
      </c>
      <c r="B12" s="20" t="s">
        <v>556</v>
      </c>
      <c r="C12" s="20" t="s">
        <v>557</v>
      </c>
      <c r="D12" s="20" t="str">
        <f>"0,5567"</f>
        <v>0,5567</v>
      </c>
      <c r="E12" s="20" t="s">
        <v>71</v>
      </c>
      <c r="F12" s="20" t="s">
        <v>18</v>
      </c>
      <c r="G12" s="20" t="s">
        <v>558</v>
      </c>
      <c r="H12" s="20" t="s">
        <v>195</v>
      </c>
      <c r="I12" s="20" t="s">
        <v>42</v>
      </c>
      <c r="J12" s="21"/>
      <c r="K12" s="20">
        <v>260</v>
      </c>
      <c r="L12" s="20" t="str">
        <f>"144,7478"</f>
        <v>144,7478</v>
      </c>
      <c r="M12" s="20" t="s">
        <v>44</v>
      </c>
    </row>
    <row r="14" ht="15">
      <c r="E14" s="22" t="s">
        <v>45</v>
      </c>
    </row>
    <row r="15" ht="15">
      <c r="E15" s="22" t="s">
        <v>46</v>
      </c>
    </row>
    <row r="16" ht="15">
      <c r="E16" s="22" t="s">
        <v>47</v>
      </c>
    </row>
    <row r="17" ht="15">
      <c r="E17" s="22" t="s">
        <v>48</v>
      </c>
    </row>
    <row r="18" ht="15">
      <c r="E18" s="22" t="s">
        <v>48</v>
      </c>
    </row>
    <row r="19" ht="15">
      <c r="E19" s="22" t="s">
        <v>49</v>
      </c>
    </row>
    <row r="20" ht="15">
      <c r="E20" s="22"/>
    </row>
    <row r="22" spans="1:2" ht="18">
      <c r="A22" s="23" t="s">
        <v>50</v>
      </c>
      <c r="B22" s="23"/>
    </row>
    <row r="23" spans="1:2" ht="15">
      <c r="A23" s="30" t="s">
        <v>51</v>
      </c>
      <c r="B23" s="30"/>
    </row>
    <row r="24" spans="1:2" ht="14.25">
      <c r="A24" s="32" t="s">
        <v>139</v>
      </c>
      <c r="B24" s="33"/>
    </row>
    <row r="25" spans="1:5" ht="15">
      <c r="A25" s="34" t="s">
        <v>53</v>
      </c>
      <c r="B25" s="34" t="s">
        <v>54</v>
      </c>
      <c r="C25" s="34" t="s">
        <v>55</v>
      </c>
      <c r="D25" s="34" t="s">
        <v>56</v>
      </c>
      <c r="E25" s="34" t="s">
        <v>57</v>
      </c>
    </row>
    <row r="26" spans="1:5" ht="12.75">
      <c r="A26" s="31" t="s">
        <v>211</v>
      </c>
      <c r="B26" s="19" t="s">
        <v>142</v>
      </c>
      <c r="C26" s="19" t="s">
        <v>365</v>
      </c>
      <c r="D26" s="19" t="s">
        <v>21</v>
      </c>
      <c r="E26" s="35" t="s">
        <v>559</v>
      </c>
    </row>
    <row r="29" spans="1:2" ht="15">
      <c r="A29" s="30" t="s">
        <v>61</v>
      </c>
      <c r="B29" s="30"/>
    </row>
    <row r="30" spans="1:2" ht="14.25">
      <c r="A30" s="32" t="s">
        <v>62</v>
      </c>
      <c r="B30" s="33"/>
    </row>
    <row r="31" spans="1:5" ht="15">
      <c r="A31" s="34" t="s">
        <v>53</v>
      </c>
      <c r="B31" s="34" t="s">
        <v>54</v>
      </c>
      <c r="C31" s="34" t="s">
        <v>55</v>
      </c>
      <c r="D31" s="34" t="s">
        <v>56</v>
      </c>
      <c r="E31" s="34" t="s">
        <v>57</v>
      </c>
    </row>
    <row r="32" spans="1:5" ht="12.75">
      <c r="A32" s="31" t="s">
        <v>538</v>
      </c>
      <c r="B32" s="19" t="s">
        <v>63</v>
      </c>
      <c r="C32" s="19" t="s">
        <v>148</v>
      </c>
      <c r="D32" s="19" t="s">
        <v>40</v>
      </c>
      <c r="E32" s="35" t="s">
        <v>560</v>
      </c>
    </row>
    <row r="34" spans="1:2" ht="14.25">
      <c r="A34" s="32" t="s">
        <v>52</v>
      </c>
      <c r="B34" s="33"/>
    </row>
    <row r="35" spans="1:5" ht="15">
      <c r="A35" s="34" t="s">
        <v>53</v>
      </c>
      <c r="B35" s="34" t="s">
        <v>54</v>
      </c>
      <c r="C35" s="34" t="s">
        <v>55</v>
      </c>
      <c r="D35" s="34" t="s">
        <v>56</v>
      </c>
      <c r="E35" s="34" t="s">
        <v>57</v>
      </c>
    </row>
    <row r="36" spans="1:5" ht="12.75">
      <c r="A36" s="31" t="s">
        <v>555</v>
      </c>
      <c r="B36" s="19" t="s">
        <v>161</v>
      </c>
      <c r="C36" s="19" t="s">
        <v>561</v>
      </c>
      <c r="D36" s="19" t="s">
        <v>42</v>
      </c>
      <c r="E36" s="35" t="s">
        <v>562</v>
      </c>
    </row>
  </sheetData>
  <sheetProtection/>
  <mergeCells count="14"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24.75390625" style="19" bestFit="1" customWidth="1"/>
    <col min="2" max="2" width="26.625" style="19" bestFit="1" customWidth="1"/>
    <col min="3" max="3" width="10.125" style="19" bestFit="1" customWidth="1"/>
    <col min="4" max="4" width="8.25390625" style="19" bestFit="1" customWidth="1"/>
    <col min="5" max="5" width="21.75390625" style="19" bestFit="1" customWidth="1"/>
    <col min="6" max="6" width="30.125" style="19" bestFit="1" customWidth="1"/>
    <col min="7" max="7" width="5.625" style="19" bestFit="1" customWidth="1"/>
    <col min="8" max="8" width="7.25390625" style="19" bestFit="1" customWidth="1"/>
    <col min="9" max="9" width="2.125" style="19" bestFit="1" customWidth="1"/>
    <col min="10" max="10" width="4.25390625" style="19" bestFit="1" customWidth="1"/>
    <col min="11" max="11" width="7.75390625" style="19" bestFit="1" customWidth="1"/>
    <col min="12" max="12" width="9.625" style="19" bestFit="1" customWidth="1"/>
    <col min="13" max="13" width="8.25390625" style="19" bestFit="1" customWidth="1"/>
  </cols>
  <sheetData>
    <row r="1" spans="1:13" s="1" customFormat="1" ht="15" customHeight="1">
      <c r="A1" s="36" t="s">
        <v>660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1" customFormat="1" ht="81.7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2" customFormat="1" ht="12.75" customHeight="1">
      <c r="A3" s="42" t="s">
        <v>0</v>
      </c>
      <c r="B3" s="44" t="s">
        <v>619</v>
      </c>
      <c r="C3" s="46" t="s">
        <v>5</v>
      </c>
      <c r="D3" s="46" t="s">
        <v>10</v>
      </c>
      <c r="E3" s="46" t="s">
        <v>8</v>
      </c>
      <c r="F3" s="46" t="s">
        <v>11</v>
      </c>
      <c r="G3" s="46" t="s">
        <v>2</v>
      </c>
      <c r="H3" s="46"/>
      <c r="I3" s="46"/>
      <c r="J3" s="46"/>
      <c r="K3" s="46" t="s">
        <v>4</v>
      </c>
      <c r="L3" s="46" t="s">
        <v>7</v>
      </c>
      <c r="M3" s="48" t="s">
        <v>6</v>
      </c>
    </row>
    <row r="4" spans="1:13" s="2" customFormat="1" ht="21" customHeight="1" thickBot="1">
      <c r="A4" s="43"/>
      <c r="B4" s="45"/>
      <c r="C4" s="45"/>
      <c r="D4" s="45"/>
      <c r="E4" s="45"/>
      <c r="F4" s="45"/>
      <c r="G4" s="3" t="s">
        <v>620</v>
      </c>
      <c r="H4" s="3" t="s">
        <v>621</v>
      </c>
      <c r="I4" s="3">
        <v>3</v>
      </c>
      <c r="J4" s="3" t="s">
        <v>9</v>
      </c>
      <c r="K4" s="45"/>
      <c r="L4" s="45"/>
      <c r="M4" s="49"/>
    </row>
    <row r="5" spans="1:12" ht="15">
      <c r="A5" s="50" t="s">
        <v>13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12.75">
      <c r="A6" s="24" t="s">
        <v>661</v>
      </c>
      <c r="B6" s="24" t="s">
        <v>662</v>
      </c>
      <c r="C6" s="24" t="s">
        <v>663</v>
      </c>
      <c r="D6" s="24" t="str">
        <f>"0,7475"</f>
        <v>0,7475</v>
      </c>
      <c r="E6" s="24" t="s">
        <v>71</v>
      </c>
      <c r="F6" s="24" t="s">
        <v>18</v>
      </c>
      <c r="G6" s="24" t="s">
        <v>19</v>
      </c>
      <c r="H6" s="24" t="s">
        <v>664</v>
      </c>
      <c r="I6" s="25"/>
      <c r="J6" s="25"/>
      <c r="K6" s="24">
        <v>2590</v>
      </c>
      <c r="L6" s="24" t="str">
        <f>"1936,0250"</f>
        <v>1936,0250</v>
      </c>
      <c r="M6" s="24" t="s">
        <v>44</v>
      </c>
    </row>
    <row r="7" spans="1:13" ht="12.75">
      <c r="A7" s="28" t="s">
        <v>265</v>
      </c>
      <c r="B7" s="28" t="s">
        <v>266</v>
      </c>
      <c r="C7" s="28" t="s">
        <v>267</v>
      </c>
      <c r="D7" s="28" t="str">
        <f>"0,7132"</f>
        <v>0,7132</v>
      </c>
      <c r="E7" s="28" t="s">
        <v>71</v>
      </c>
      <c r="F7" s="28" t="s">
        <v>268</v>
      </c>
      <c r="G7" s="28" t="s">
        <v>180</v>
      </c>
      <c r="H7" s="28" t="s">
        <v>665</v>
      </c>
      <c r="I7" s="29"/>
      <c r="J7" s="29"/>
      <c r="K7" s="28">
        <v>2102.5</v>
      </c>
      <c r="L7" s="28" t="str">
        <f>"1499,6081"</f>
        <v>1499,6081</v>
      </c>
      <c r="M7" s="28" t="s">
        <v>44</v>
      </c>
    </row>
    <row r="8" spans="1:13" ht="12.75">
      <c r="A8" s="26" t="s">
        <v>666</v>
      </c>
      <c r="B8" s="26" t="s">
        <v>667</v>
      </c>
      <c r="C8" s="26" t="s">
        <v>668</v>
      </c>
      <c r="D8" s="26" t="str">
        <f>"0,6990"</f>
        <v>0,6990</v>
      </c>
      <c r="E8" s="26" t="s">
        <v>71</v>
      </c>
      <c r="F8" s="26" t="s">
        <v>669</v>
      </c>
      <c r="G8" s="26" t="s">
        <v>553</v>
      </c>
      <c r="H8" s="26" t="s">
        <v>670</v>
      </c>
      <c r="I8" s="27"/>
      <c r="J8" s="27"/>
      <c r="K8" s="26">
        <v>1275</v>
      </c>
      <c r="L8" s="26" t="str">
        <f>"891,2250"</f>
        <v>891,2250</v>
      </c>
      <c r="M8" s="26" t="s">
        <v>44</v>
      </c>
    </row>
    <row r="10" spans="1:12" ht="15">
      <c r="A10" s="47" t="s">
        <v>95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</row>
    <row r="11" spans="1:13" ht="12.75">
      <c r="A11" s="24" t="s">
        <v>326</v>
      </c>
      <c r="B11" s="24" t="s">
        <v>327</v>
      </c>
      <c r="C11" s="24" t="s">
        <v>328</v>
      </c>
      <c r="D11" s="24" t="str">
        <f>"0,6149"</f>
        <v>0,6149</v>
      </c>
      <c r="E11" s="24" t="s">
        <v>71</v>
      </c>
      <c r="F11" s="24" t="s">
        <v>18</v>
      </c>
      <c r="G11" s="24" t="s">
        <v>86</v>
      </c>
      <c r="H11" s="24" t="s">
        <v>635</v>
      </c>
      <c r="I11" s="25"/>
      <c r="J11" s="25"/>
      <c r="K11" s="24">
        <v>2340</v>
      </c>
      <c r="L11" s="24" t="str">
        <f>"1438,8660"</f>
        <v>1438,8660</v>
      </c>
      <c r="M11" s="24" t="s">
        <v>44</v>
      </c>
    </row>
    <row r="12" spans="1:13" ht="12.75">
      <c r="A12" s="26" t="s">
        <v>339</v>
      </c>
      <c r="B12" s="26" t="s">
        <v>340</v>
      </c>
      <c r="C12" s="26" t="s">
        <v>341</v>
      </c>
      <c r="D12" s="26" t="str">
        <f>"0,8561"</f>
        <v>0,8561</v>
      </c>
      <c r="E12" s="26" t="s">
        <v>71</v>
      </c>
      <c r="F12" s="26" t="s">
        <v>18</v>
      </c>
      <c r="G12" s="26" t="s">
        <v>86</v>
      </c>
      <c r="H12" s="26" t="s">
        <v>671</v>
      </c>
      <c r="I12" s="27"/>
      <c r="J12" s="27"/>
      <c r="K12" s="26">
        <v>1080</v>
      </c>
      <c r="L12" s="26" t="str">
        <f>"924,5536"</f>
        <v>924,5536</v>
      </c>
      <c r="M12" s="26" t="s">
        <v>44</v>
      </c>
    </row>
    <row r="14" spans="1:12" ht="15">
      <c r="A14" s="47" t="s">
        <v>30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</row>
    <row r="15" spans="1:13" ht="12.75">
      <c r="A15" s="20" t="s">
        <v>356</v>
      </c>
      <c r="B15" s="20" t="s">
        <v>357</v>
      </c>
      <c r="C15" s="20" t="s">
        <v>358</v>
      </c>
      <c r="D15" s="20" t="str">
        <f>"0,6376"</f>
        <v>0,6376</v>
      </c>
      <c r="E15" s="20" t="s">
        <v>17</v>
      </c>
      <c r="F15" s="20" t="s">
        <v>18</v>
      </c>
      <c r="G15" s="20" t="s">
        <v>27</v>
      </c>
      <c r="H15" s="20" t="s">
        <v>670</v>
      </c>
      <c r="I15" s="21"/>
      <c r="J15" s="21"/>
      <c r="K15" s="20">
        <v>1870</v>
      </c>
      <c r="L15" s="20" t="str">
        <f>"1192,3167"</f>
        <v>1192,3167</v>
      </c>
      <c r="M15" s="20" t="s">
        <v>44</v>
      </c>
    </row>
    <row r="17" spans="1:12" ht="15">
      <c r="A17" s="47" t="s">
        <v>126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</row>
    <row r="18" spans="1:13" ht="12.75">
      <c r="A18" s="20" t="s">
        <v>672</v>
      </c>
      <c r="B18" s="20" t="s">
        <v>673</v>
      </c>
      <c r="C18" s="20" t="s">
        <v>674</v>
      </c>
      <c r="D18" s="20" t="str">
        <f>"0,5583"</f>
        <v>0,5583</v>
      </c>
      <c r="E18" s="20" t="s">
        <v>71</v>
      </c>
      <c r="F18" s="20" t="s">
        <v>18</v>
      </c>
      <c r="G18" s="20" t="s">
        <v>91</v>
      </c>
      <c r="H18" s="20" t="s">
        <v>675</v>
      </c>
      <c r="I18" s="21"/>
      <c r="J18" s="21"/>
      <c r="K18" s="20">
        <v>0</v>
      </c>
      <c r="L18" s="20" t="str">
        <f>"0,0000"</f>
        <v>0,0000</v>
      </c>
      <c r="M18" s="20" t="s">
        <v>44</v>
      </c>
    </row>
    <row r="20" ht="15">
      <c r="E20" s="22" t="s">
        <v>45</v>
      </c>
    </row>
    <row r="21" ht="15">
      <c r="E21" s="22" t="s">
        <v>46</v>
      </c>
    </row>
    <row r="22" ht="15">
      <c r="E22" s="22" t="s">
        <v>47</v>
      </c>
    </row>
    <row r="23" ht="15">
      <c r="E23" s="22" t="s">
        <v>48</v>
      </c>
    </row>
    <row r="24" ht="15">
      <c r="E24" s="22" t="s">
        <v>48</v>
      </c>
    </row>
    <row r="25" ht="15">
      <c r="E25" s="22" t="s">
        <v>49</v>
      </c>
    </row>
    <row r="26" ht="15">
      <c r="E26" s="22"/>
    </row>
    <row r="28" spans="1:2" ht="18">
      <c r="A28" s="23" t="s">
        <v>50</v>
      </c>
      <c r="B28" s="23"/>
    </row>
    <row r="29" spans="1:2" ht="15">
      <c r="A29" s="30" t="s">
        <v>61</v>
      </c>
      <c r="B29" s="30"/>
    </row>
    <row r="30" spans="1:2" ht="14.25">
      <c r="A30" s="32" t="s">
        <v>62</v>
      </c>
      <c r="B30" s="33"/>
    </row>
    <row r="31" spans="1:5" ht="15">
      <c r="A31" s="34" t="s">
        <v>53</v>
      </c>
      <c r="B31" s="34" t="s">
        <v>54</v>
      </c>
      <c r="C31" s="34" t="s">
        <v>55</v>
      </c>
      <c r="D31" s="34" t="s">
        <v>56</v>
      </c>
      <c r="E31" s="34" t="s">
        <v>57</v>
      </c>
    </row>
    <row r="32" spans="1:5" ht="12.75">
      <c r="A32" s="31" t="s">
        <v>661</v>
      </c>
      <c r="B32" s="19" t="s">
        <v>63</v>
      </c>
      <c r="C32" s="19" t="s">
        <v>59</v>
      </c>
      <c r="D32" s="19" t="s">
        <v>676</v>
      </c>
      <c r="E32" s="35" t="s">
        <v>677</v>
      </c>
    </row>
    <row r="33" spans="1:5" ht="12.75">
      <c r="A33" s="31" t="s">
        <v>265</v>
      </c>
      <c r="B33" s="19" t="s">
        <v>63</v>
      </c>
      <c r="C33" s="19" t="s">
        <v>59</v>
      </c>
      <c r="D33" s="19" t="s">
        <v>678</v>
      </c>
      <c r="E33" s="35" t="s">
        <v>679</v>
      </c>
    </row>
    <row r="34" spans="1:5" ht="12.75">
      <c r="A34" s="31" t="s">
        <v>326</v>
      </c>
      <c r="B34" s="19" t="s">
        <v>63</v>
      </c>
      <c r="C34" s="19" t="s">
        <v>157</v>
      </c>
      <c r="D34" s="19" t="s">
        <v>680</v>
      </c>
      <c r="E34" s="35" t="s">
        <v>681</v>
      </c>
    </row>
    <row r="35" spans="1:5" ht="12.75">
      <c r="A35" s="31" t="s">
        <v>666</v>
      </c>
      <c r="B35" s="19" t="s">
        <v>63</v>
      </c>
      <c r="C35" s="19" t="s">
        <v>59</v>
      </c>
      <c r="D35" s="19" t="s">
        <v>682</v>
      </c>
      <c r="E35" s="35" t="s">
        <v>683</v>
      </c>
    </row>
    <row r="37" spans="1:2" ht="14.25">
      <c r="A37" s="32" t="s">
        <v>52</v>
      </c>
      <c r="B37" s="33"/>
    </row>
    <row r="38" spans="1:5" ht="15">
      <c r="A38" s="34" t="s">
        <v>53</v>
      </c>
      <c r="B38" s="34" t="s">
        <v>54</v>
      </c>
      <c r="C38" s="34" t="s">
        <v>55</v>
      </c>
      <c r="D38" s="34" t="s">
        <v>56</v>
      </c>
      <c r="E38" s="34" t="s">
        <v>57</v>
      </c>
    </row>
    <row r="39" spans="1:5" ht="12.75">
      <c r="A39" s="31" t="s">
        <v>356</v>
      </c>
      <c r="B39" s="19" t="s">
        <v>406</v>
      </c>
      <c r="C39" s="19" t="s">
        <v>64</v>
      </c>
      <c r="D39" s="19" t="s">
        <v>684</v>
      </c>
      <c r="E39" s="35" t="s">
        <v>685</v>
      </c>
    </row>
    <row r="40" spans="1:5" ht="12.75">
      <c r="A40" s="31" t="s">
        <v>339</v>
      </c>
      <c r="B40" s="19" t="s">
        <v>151</v>
      </c>
      <c r="C40" s="19" t="s">
        <v>157</v>
      </c>
      <c r="D40" s="19" t="s">
        <v>686</v>
      </c>
      <c r="E40" s="35" t="s">
        <v>687</v>
      </c>
    </row>
  </sheetData>
  <sheetProtection/>
  <mergeCells count="15">
    <mergeCell ref="M3:M4"/>
    <mergeCell ref="A5:L5"/>
    <mergeCell ref="A10:L10"/>
    <mergeCell ref="A14:L14"/>
    <mergeCell ref="A17:L17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24.75390625" style="19" bestFit="1" customWidth="1"/>
    <col min="2" max="2" width="26.625" style="19" bestFit="1" customWidth="1"/>
    <col min="3" max="3" width="10.125" style="19" bestFit="1" customWidth="1"/>
    <col min="4" max="4" width="8.25390625" style="19" bestFit="1" customWidth="1"/>
    <col min="5" max="5" width="21.75390625" style="19" bestFit="1" customWidth="1"/>
    <col min="6" max="6" width="30.25390625" style="19" bestFit="1" customWidth="1"/>
    <col min="7" max="9" width="4.625" style="19" bestFit="1" customWidth="1"/>
    <col min="10" max="10" width="4.25390625" style="19" bestFit="1" customWidth="1"/>
    <col min="11" max="11" width="7.75390625" style="19" bestFit="1" customWidth="1"/>
    <col min="12" max="12" width="7.625" style="19" bestFit="1" customWidth="1"/>
    <col min="13" max="13" width="8.25390625" style="19" bestFit="1" customWidth="1"/>
  </cols>
  <sheetData>
    <row r="1" spans="1:13" s="1" customFormat="1" ht="15" customHeight="1">
      <c r="A1" s="36" t="s">
        <v>692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1" customFormat="1" ht="81.7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2" customFormat="1" ht="12.75" customHeight="1">
      <c r="A3" s="42" t="s">
        <v>0</v>
      </c>
      <c r="B3" s="44" t="s">
        <v>12</v>
      </c>
      <c r="C3" s="46" t="s">
        <v>5</v>
      </c>
      <c r="D3" s="46" t="s">
        <v>10</v>
      </c>
      <c r="E3" s="46" t="s">
        <v>8</v>
      </c>
      <c r="F3" s="46" t="s">
        <v>11</v>
      </c>
      <c r="G3" s="46" t="s">
        <v>2</v>
      </c>
      <c r="H3" s="46"/>
      <c r="I3" s="46"/>
      <c r="J3" s="46"/>
      <c r="K3" s="46" t="s">
        <v>4</v>
      </c>
      <c r="L3" s="46" t="s">
        <v>7</v>
      </c>
      <c r="M3" s="48" t="s">
        <v>6</v>
      </c>
    </row>
    <row r="4" spans="1:13" s="2" customFormat="1" ht="21" customHeight="1" thickBot="1">
      <c r="A4" s="43"/>
      <c r="B4" s="45"/>
      <c r="C4" s="45"/>
      <c r="D4" s="45"/>
      <c r="E4" s="45"/>
      <c r="F4" s="45"/>
      <c r="G4" s="3">
        <v>1</v>
      </c>
      <c r="H4" s="3">
        <v>2</v>
      </c>
      <c r="I4" s="3">
        <v>3</v>
      </c>
      <c r="J4" s="3" t="s">
        <v>9</v>
      </c>
      <c r="K4" s="45"/>
      <c r="L4" s="45"/>
      <c r="M4" s="49"/>
    </row>
    <row r="5" spans="1:12" ht="15">
      <c r="A5" s="50" t="s">
        <v>215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12.75">
      <c r="A6" s="20" t="s">
        <v>216</v>
      </c>
      <c r="B6" s="20" t="s">
        <v>217</v>
      </c>
      <c r="C6" s="20" t="s">
        <v>218</v>
      </c>
      <c r="D6" s="20" t="str">
        <f>"1,1282"</f>
        <v>1,1282</v>
      </c>
      <c r="E6" s="20" t="s">
        <v>71</v>
      </c>
      <c r="F6" s="20" t="s">
        <v>18</v>
      </c>
      <c r="G6" s="20" t="s">
        <v>582</v>
      </c>
      <c r="H6" s="20" t="s">
        <v>583</v>
      </c>
      <c r="I6" s="21" t="s">
        <v>584</v>
      </c>
      <c r="J6" s="21"/>
      <c r="K6" s="20">
        <v>30</v>
      </c>
      <c r="L6" s="20" t="str">
        <f>"33,8460"</f>
        <v>33,8460</v>
      </c>
      <c r="M6" s="20" t="s">
        <v>44</v>
      </c>
    </row>
    <row r="8" spans="1:12" ht="15">
      <c r="A8" s="47" t="s">
        <v>13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3" ht="12.75">
      <c r="A9" s="24" t="s">
        <v>585</v>
      </c>
      <c r="B9" s="24" t="s">
        <v>586</v>
      </c>
      <c r="C9" s="24" t="s">
        <v>244</v>
      </c>
      <c r="D9" s="24" t="str">
        <f>"0,7086"</f>
        <v>0,7086</v>
      </c>
      <c r="E9" s="24" t="s">
        <v>288</v>
      </c>
      <c r="F9" s="24" t="s">
        <v>289</v>
      </c>
      <c r="G9" s="25" t="s">
        <v>23</v>
      </c>
      <c r="H9" s="24" t="s">
        <v>246</v>
      </c>
      <c r="I9" s="24" t="s">
        <v>24</v>
      </c>
      <c r="J9" s="25"/>
      <c r="K9" s="24">
        <v>50</v>
      </c>
      <c r="L9" s="24" t="str">
        <f>"35,4325"</f>
        <v>35,4325</v>
      </c>
      <c r="M9" s="24" t="s">
        <v>44</v>
      </c>
    </row>
    <row r="10" spans="1:13" ht="12.75">
      <c r="A10" s="26" t="s">
        <v>587</v>
      </c>
      <c r="B10" s="26" t="s">
        <v>588</v>
      </c>
      <c r="C10" s="26" t="s">
        <v>275</v>
      </c>
      <c r="D10" s="26" t="str">
        <f>"0,7027"</f>
        <v>0,7027</v>
      </c>
      <c r="E10" s="26" t="s">
        <v>71</v>
      </c>
      <c r="F10" s="26" t="s">
        <v>589</v>
      </c>
      <c r="G10" s="26" t="s">
        <v>590</v>
      </c>
      <c r="H10" s="27" t="s">
        <v>219</v>
      </c>
      <c r="I10" s="27" t="s">
        <v>219</v>
      </c>
      <c r="J10" s="27"/>
      <c r="K10" s="26">
        <v>52.5</v>
      </c>
      <c r="L10" s="26" t="str">
        <f>"36,8891"</f>
        <v>36,8891</v>
      </c>
      <c r="M10" s="26" t="s">
        <v>44</v>
      </c>
    </row>
    <row r="12" spans="1:12" ht="15">
      <c r="A12" s="47" t="s">
        <v>67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3" ht="12.75">
      <c r="A13" s="24" t="s">
        <v>591</v>
      </c>
      <c r="B13" s="24" t="s">
        <v>592</v>
      </c>
      <c r="C13" s="24" t="s">
        <v>593</v>
      </c>
      <c r="D13" s="24" t="str">
        <f>"0,6682"</f>
        <v>0,6682</v>
      </c>
      <c r="E13" s="24" t="s">
        <v>71</v>
      </c>
      <c r="F13" s="24" t="s">
        <v>594</v>
      </c>
      <c r="G13" s="25" t="s">
        <v>245</v>
      </c>
      <c r="H13" s="24" t="s">
        <v>246</v>
      </c>
      <c r="I13" s="24" t="s">
        <v>590</v>
      </c>
      <c r="J13" s="25"/>
      <c r="K13" s="24">
        <v>52.5</v>
      </c>
      <c r="L13" s="24" t="str">
        <f>"35,0779"</f>
        <v>35,0779</v>
      </c>
      <c r="M13" s="24" t="s">
        <v>44</v>
      </c>
    </row>
    <row r="14" spans="1:13" ht="12.75">
      <c r="A14" s="28" t="s">
        <v>301</v>
      </c>
      <c r="B14" s="28" t="s">
        <v>302</v>
      </c>
      <c r="C14" s="28" t="s">
        <v>303</v>
      </c>
      <c r="D14" s="28" t="str">
        <f>"0,6670"</f>
        <v>0,6670</v>
      </c>
      <c r="E14" s="28" t="s">
        <v>71</v>
      </c>
      <c r="F14" s="28" t="s">
        <v>18</v>
      </c>
      <c r="G14" s="28" t="s">
        <v>219</v>
      </c>
      <c r="H14" s="28" t="s">
        <v>81</v>
      </c>
      <c r="I14" s="28" t="s">
        <v>167</v>
      </c>
      <c r="J14" s="29"/>
      <c r="K14" s="28">
        <v>62.5</v>
      </c>
      <c r="L14" s="28" t="str">
        <f>"41,6875"</f>
        <v>41,6875</v>
      </c>
      <c r="M14" s="28" t="s">
        <v>44</v>
      </c>
    </row>
    <row r="15" spans="1:13" ht="12.75">
      <c r="A15" s="28" t="s">
        <v>595</v>
      </c>
      <c r="B15" s="28" t="s">
        <v>596</v>
      </c>
      <c r="C15" s="28" t="s">
        <v>597</v>
      </c>
      <c r="D15" s="28" t="str">
        <f>"0,6446"</f>
        <v>0,6446</v>
      </c>
      <c r="E15" s="28" t="s">
        <v>71</v>
      </c>
      <c r="F15" s="28" t="s">
        <v>598</v>
      </c>
      <c r="G15" s="28" t="s">
        <v>24</v>
      </c>
      <c r="H15" s="28" t="s">
        <v>214</v>
      </c>
      <c r="I15" s="29" t="s">
        <v>81</v>
      </c>
      <c r="J15" s="29"/>
      <c r="K15" s="28">
        <v>55</v>
      </c>
      <c r="L15" s="28" t="str">
        <f>"35,4530"</f>
        <v>35,4530</v>
      </c>
      <c r="M15" s="28" t="s">
        <v>44</v>
      </c>
    </row>
    <row r="16" spans="1:13" ht="12.75">
      <c r="A16" s="26" t="s">
        <v>308</v>
      </c>
      <c r="B16" s="26" t="s">
        <v>309</v>
      </c>
      <c r="C16" s="26" t="s">
        <v>310</v>
      </c>
      <c r="D16" s="26" t="str">
        <f>"0,6956"</f>
        <v>0,6956</v>
      </c>
      <c r="E16" s="26" t="s">
        <v>288</v>
      </c>
      <c r="F16" s="26" t="s">
        <v>289</v>
      </c>
      <c r="G16" s="26" t="s">
        <v>22</v>
      </c>
      <c r="H16" s="26" t="s">
        <v>590</v>
      </c>
      <c r="I16" s="27" t="s">
        <v>81</v>
      </c>
      <c r="J16" s="27"/>
      <c r="K16" s="26">
        <v>52.5</v>
      </c>
      <c r="L16" s="26" t="str">
        <f>"36,5184"</f>
        <v>36,5184</v>
      </c>
      <c r="M16" s="26" t="s">
        <v>44</v>
      </c>
    </row>
    <row r="18" spans="1:12" ht="15">
      <c r="A18" s="47" t="s">
        <v>95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1:13" ht="12.75">
      <c r="A19" s="24" t="s">
        <v>599</v>
      </c>
      <c r="B19" s="24" t="s">
        <v>600</v>
      </c>
      <c r="C19" s="24" t="s">
        <v>601</v>
      </c>
      <c r="D19" s="24" t="str">
        <f>"0,6222"</f>
        <v>0,6222</v>
      </c>
      <c r="E19" s="24" t="s">
        <v>71</v>
      </c>
      <c r="F19" s="24" t="s">
        <v>289</v>
      </c>
      <c r="G19" s="25" t="s">
        <v>214</v>
      </c>
      <c r="H19" s="25" t="s">
        <v>214</v>
      </c>
      <c r="I19" s="25" t="s">
        <v>214</v>
      </c>
      <c r="J19" s="25"/>
      <c r="K19" s="24">
        <v>0</v>
      </c>
      <c r="L19" s="24" t="str">
        <f>"0,0000"</f>
        <v>0,0000</v>
      </c>
      <c r="M19" s="24" t="s">
        <v>44</v>
      </c>
    </row>
    <row r="20" spans="1:13" ht="12.75">
      <c r="A20" s="28" t="s">
        <v>326</v>
      </c>
      <c r="B20" s="28" t="s">
        <v>327</v>
      </c>
      <c r="C20" s="28" t="s">
        <v>328</v>
      </c>
      <c r="D20" s="28" t="str">
        <f>"0,6149"</f>
        <v>0,6149</v>
      </c>
      <c r="E20" s="28" t="s">
        <v>71</v>
      </c>
      <c r="F20" s="28" t="s">
        <v>18</v>
      </c>
      <c r="G20" s="29" t="s">
        <v>179</v>
      </c>
      <c r="H20" s="28" t="s">
        <v>82</v>
      </c>
      <c r="I20" s="29" t="s">
        <v>19</v>
      </c>
      <c r="J20" s="29"/>
      <c r="K20" s="28">
        <v>67.5</v>
      </c>
      <c r="L20" s="28" t="str">
        <f>"41,5057"</f>
        <v>41,5057</v>
      </c>
      <c r="M20" s="28" t="s">
        <v>44</v>
      </c>
    </row>
    <row r="21" spans="1:13" ht="12.75">
      <c r="A21" s="28" t="s">
        <v>602</v>
      </c>
      <c r="B21" s="28" t="s">
        <v>603</v>
      </c>
      <c r="C21" s="28" t="s">
        <v>604</v>
      </c>
      <c r="D21" s="28" t="str">
        <f>"0,6251"</f>
        <v>0,6251</v>
      </c>
      <c r="E21" s="28" t="s">
        <v>71</v>
      </c>
      <c r="F21" s="28" t="s">
        <v>18</v>
      </c>
      <c r="G21" s="28" t="s">
        <v>214</v>
      </c>
      <c r="H21" s="29" t="s">
        <v>219</v>
      </c>
      <c r="I21" s="28" t="s">
        <v>219</v>
      </c>
      <c r="J21" s="29"/>
      <c r="K21" s="28">
        <v>57.5</v>
      </c>
      <c r="L21" s="28" t="str">
        <f>"35,9433"</f>
        <v>35,9433</v>
      </c>
      <c r="M21" s="28" t="s">
        <v>44</v>
      </c>
    </row>
    <row r="22" spans="1:13" ht="12.75">
      <c r="A22" s="26" t="s">
        <v>605</v>
      </c>
      <c r="B22" s="26" t="s">
        <v>606</v>
      </c>
      <c r="C22" s="26" t="s">
        <v>607</v>
      </c>
      <c r="D22" s="26" t="str">
        <f>"0,6802"</f>
        <v>0,6802</v>
      </c>
      <c r="E22" s="26" t="s">
        <v>71</v>
      </c>
      <c r="F22" s="26" t="s">
        <v>314</v>
      </c>
      <c r="G22" s="26" t="s">
        <v>24</v>
      </c>
      <c r="H22" s="26" t="s">
        <v>214</v>
      </c>
      <c r="I22" s="27" t="s">
        <v>179</v>
      </c>
      <c r="J22" s="27"/>
      <c r="K22" s="26">
        <v>55</v>
      </c>
      <c r="L22" s="26" t="str">
        <f>"37,4137"</f>
        <v>37,4137</v>
      </c>
      <c r="M22" s="26" t="s">
        <v>44</v>
      </c>
    </row>
    <row r="24" ht="15">
      <c r="E24" s="22" t="s">
        <v>45</v>
      </c>
    </row>
    <row r="25" ht="15">
      <c r="E25" s="22" t="s">
        <v>46</v>
      </c>
    </row>
    <row r="26" ht="15">
      <c r="E26" s="22" t="s">
        <v>47</v>
      </c>
    </row>
    <row r="27" ht="15">
      <c r="E27" s="22" t="s">
        <v>48</v>
      </c>
    </row>
    <row r="28" ht="15">
      <c r="E28" s="22" t="s">
        <v>48</v>
      </c>
    </row>
    <row r="29" ht="15">
      <c r="E29" s="22" t="s">
        <v>49</v>
      </c>
    </row>
    <row r="30" ht="15">
      <c r="E30" s="22"/>
    </row>
    <row r="32" spans="1:2" ht="18">
      <c r="A32" s="23" t="s">
        <v>50</v>
      </c>
      <c r="B32" s="23"/>
    </row>
    <row r="33" spans="1:2" ht="15">
      <c r="A33" s="30" t="s">
        <v>51</v>
      </c>
      <c r="B33" s="30"/>
    </row>
    <row r="34" spans="1:2" ht="14.25">
      <c r="A34" s="32" t="s">
        <v>369</v>
      </c>
      <c r="B34" s="33"/>
    </row>
    <row r="35" spans="1:5" ht="15">
      <c r="A35" s="34" t="s">
        <v>53</v>
      </c>
      <c r="B35" s="34" t="s">
        <v>54</v>
      </c>
      <c r="C35" s="34" t="s">
        <v>55</v>
      </c>
      <c r="D35" s="34" t="s">
        <v>56</v>
      </c>
      <c r="E35" s="34" t="s">
        <v>57</v>
      </c>
    </row>
    <row r="36" spans="1:5" ht="12.75">
      <c r="A36" s="31" t="s">
        <v>216</v>
      </c>
      <c r="B36" s="19" t="s">
        <v>370</v>
      </c>
      <c r="C36" s="19" t="s">
        <v>371</v>
      </c>
      <c r="D36" s="19" t="s">
        <v>583</v>
      </c>
      <c r="E36" s="35" t="s">
        <v>608</v>
      </c>
    </row>
    <row r="39" spans="1:2" ht="15">
      <c r="A39" s="30" t="s">
        <v>61</v>
      </c>
      <c r="B39" s="30"/>
    </row>
    <row r="40" spans="1:2" ht="14.25">
      <c r="A40" s="32" t="s">
        <v>139</v>
      </c>
      <c r="B40" s="33"/>
    </row>
    <row r="41" spans="1:5" ht="15">
      <c r="A41" s="34" t="s">
        <v>53</v>
      </c>
      <c r="B41" s="34" t="s">
        <v>54</v>
      </c>
      <c r="C41" s="34" t="s">
        <v>55</v>
      </c>
      <c r="D41" s="34" t="s">
        <v>56</v>
      </c>
      <c r="E41" s="34" t="s">
        <v>57</v>
      </c>
    </row>
    <row r="42" spans="1:5" ht="12.75">
      <c r="A42" s="31" t="s">
        <v>585</v>
      </c>
      <c r="B42" s="19" t="s">
        <v>140</v>
      </c>
      <c r="C42" s="19" t="s">
        <v>59</v>
      </c>
      <c r="D42" s="19" t="s">
        <v>24</v>
      </c>
      <c r="E42" s="35" t="s">
        <v>609</v>
      </c>
    </row>
    <row r="43" spans="1:5" ht="12.75">
      <c r="A43" s="31" t="s">
        <v>591</v>
      </c>
      <c r="B43" s="19" t="s">
        <v>367</v>
      </c>
      <c r="C43" s="19" t="s">
        <v>148</v>
      </c>
      <c r="D43" s="19" t="s">
        <v>590</v>
      </c>
      <c r="E43" s="35" t="s">
        <v>610</v>
      </c>
    </row>
    <row r="45" spans="1:2" ht="14.25">
      <c r="A45" s="32" t="s">
        <v>62</v>
      </c>
      <c r="B45" s="33"/>
    </row>
    <row r="46" spans="1:5" ht="15">
      <c r="A46" s="34" t="s">
        <v>53</v>
      </c>
      <c r="B46" s="34" t="s">
        <v>54</v>
      </c>
      <c r="C46" s="34" t="s">
        <v>55</v>
      </c>
      <c r="D46" s="34" t="s">
        <v>56</v>
      </c>
      <c r="E46" s="34" t="s">
        <v>57</v>
      </c>
    </row>
    <row r="47" spans="1:5" ht="12.75">
      <c r="A47" s="31" t="s">
        <v>301</v>
      </c>
      <c r="B47" s="19" t="s">
        <v>63</v>
      </c>
      <c r="C47" s="19" t="s">
        <v>148</v>
      </c>
      <c r="D47" s="19" t="s">
        <v>167</v>
      </c>
      <c r="E47" s="35" t="s">
        <v>611</v>
      </c>
    </row>
    <row r="48" spans="1:5" ht="12.75">
      <c r="A48" s="31" t="s">
        <v>326</v>
      </c>
      <c r="B48" s="19" t="s">
        <v>63</v>
      </c>
      <c r="C48" s="19" t="s">
        <v>157</v>
      </c>
      <c r="D48" s="19" t="s">
        <v>82</v>
      </c>
      <c r="E48" s="35" t="s">
        <v>612</v>
      </c>
    </row>
    <row r="49" spans="1:5" ht="12.75">
      <c r="A49" s="31" t="s">
        <v>587</v>
      </c>
      <c r="B49" s="19" t="s">
        <v>63</v>
      </c>
      <c r="C49" s="19" t="s">
        <v>59</v>
      </c>
      <c r="D49" s="19" t="s">
        <v>590</v>
      </c>
      <c r="E49" s="35" t="s">
        <v>613</v>
      </c>
    </row>
    <row r="50" spans="1:5" ht="12.75">
      <c r="A50" s="31" t="s">
        <v>602</v>
      </c>
      <c r="B50" s="19" t="s">
        <v>63</v>
      </c>
      <c r="C50" s="19" t="s">
        <v>157</v>
      </c>
      <c r="D50" s="19" t="s">
        <v>219</v>
      </c>
      <c r="E50" s="35" t="s">
        <v>614</v>
      </c>
    </row>
    <row r="51" spans="1:5" ht="12.75">
      <c r="A51" s="31" t="s">
        <v>595</v>
      </c>
      <c r="B51" s="19" t="s">
        <v>63</v>
      </c>
      <c r="C51" s="19" t="s">
        <v>148</v>
      </c>
      <c r="D51" s="19" t="s">
        <v>214</v>
      </c>
      <c r="E51" s="35" t="s">
        <v>615</v>
      </c>
    </row>
    <row r="53" spans="1:2" ht="14.25">
      <c r="A53" s="32" t="s">
        <v>52</v>
      </c>
      <c r="B53" s="33"/>
    </row>
    <row r="54" spans="1:5" ht="15">
      <c r="A54" s="34" t="s">
        <v>53</v>
      </c>
      <c r="B54" s="34" t="s">
        <v>54</v>
      </c>
      <c r="C54" s="34" t="s">
        <v>55</v>
      </c>
      <c r="D54" s="34" t="s">
        <v>56</v>
      </c>
      <c r="E54" s="34" t="s">
        <v>57</v>
      </c>
    </row>
    <row r="55" spans="1:5" ht="12.75">
      <c r="A55" s="31" t="s">
        <v>605</v>
      </c>
      <c r="B55" s="19" t="s">
        <v>58</v>
      </c>
      <c r="C55" s="19" t="s">
        <v>157</v>
      </c>
      <c r="D55" s="19" t="s">
        <v>214</v>
      </c>
      <c r="E55" s="35" t="s">
        <v>616</v>
      </c>
    </row>
    <row r="56" spans="1:5" ht="12.75">
      <c r="A56" s="31" t="s">
        <v>308</v>
      </c>
      <c r="B56" s="19" t="s">
        <v>58</v>
      </c>
      <c r="C56" s="19" t="s">
        <v>148</v>
      </c>
      <c r="D56" s="19" t="s">
        <v>590</v>
      </c>
      <c r="E56" s="35" t="s">
        <v>617</v>
      </c>
    </row>
  </sheetData>
  <sheetProtection/>
  <mergeCells count="15">
    <mergeCell ref="A18:L18"/>
    <mergeCell ref="K3:K4"/>
    <mergeCell ref="L3:L4"/>
    <mergeCell ref="M3:M4"/>
    <mergeCell ref="A5:L5"/>
    <mergeCell ref="A8:L8"/>
    <mergeCell ref="A12:L12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PageLayoutView="0" workbookViewId="0" topLeftCell="A46">
      <selection activeCell="H42" sqref="H42"/>
    </sheetView>
  </sheetViews>
  <sheetFormatPr defaultColWidth="9.00390625" defaultRowHeight="12.75"/>
  <cols>
    <col min="1" max="1" width="24.75390625" style="19" bestFit="1" customWidth="1"/>
    <col min="2" max="2" width="26.625" style="19" bestFit="1" customWidth="1"/>
    <col min="3" max="3" width="10.125" style="19" bestFit="1" customWidth="1"/>
    <col min="4" max="4" width="8.25390625" style="19" bestFit="1" customWidth="1"/>
    <col min="5" max="5" width="21.75390625" style="19" bestFit="1" customWidth="1"/>
    <col min="6" max="6" width="28.75390625" style="19" bestFit="1" customWidth="1"/>
    <col min="7" max="9" width="5.625" style="19" bestFit="1" customWidth="1"/>
    <col min="10" max="10" width="4.25390625" style="19" bestFit="1" customWidth="1"/>
    <col min="11" max="11" width="7.75390625" style="19" bestFit="1" customWidth="1"/>
    <col min="12" max="12" width="8.625" style="19" bestFit="1" customWidth="1"/>
    <col min="13" max="13" width="15.25390625" style="19" bestFit="1" customWidth="1"/>
  </cols>
  <sheetData>
    <row r="1" spans="1:13" s="1" customFormat="1" ht="15" customHeight="1">
      <c r="A1" s="36" t="s">
        <v>693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1" customFormat="1" ht="81.7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2" customFormat="1" ht="12.75" customHeight="1">
      <c r="A3" s="42" t="s">
        <v>0</v>
      </c>
      <c r="B3" s="44" t="s">
        <v>12</v>
      </c>
      <c r="C3" s="46" t="s">
        <v>5</v>
      </c>
      <c r="D3" s="46" t="s">
        <v>10</v>
      </c>
      <c r="E3" s="46" t="s">
        <v>8</v>
      </c>
      <c r="F3" s="46" t="s">
        <v>11</v>
      </c>
      <c r="G3" s="46" t="s">
        <v>3</v>
      </c>
      <c r="H3" s="46"/>
      <c r="I3" s="46"/>
      <c r="J3" s="46"/>
      <c r="K3" s="46" t="s">
        <v>4</v>
      </c>
      <c r="L3" s="46" t="s">
        <v>7</v>
      </c>
      <c r="M3" s="48" t="s">
        <v>6</v>
      </c>
    </row>
    <row r="4" spans="1:13" s="2" customFormat="1" ht="21" customHeight="1" thickBot="1">
      <c r="A4" s="43"/>
      <c r="B4" s="45"/>
      <c r="C4" s="45"/>
      <c r="D4" s="45"/>
      <c r="E4" s="45"/>
      <c r="F4" s="45"/>
      <c r="G4" s="3">
        <v>1</v>
      </c>
      <c r="H4" s="3">
        <v>2</v>
      </c>
      <c r="I4" s="3">
        <v>3</v>
      </c>
      <c r="J4" s="3" t="s">
        <v>9</v>
      </c>
      <c r="K4" s="45"/>
      <c r="L4" s="45"/>
      <c r="M4" s="49"/>
    </row>
    <row r="5" spans="1:12" ht="15">
      <c r="A5" s="50" t="s">
        <v>224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12.75">
      <c r="A6" s="24" t="s">
        <v>430</v>
      </c>
      <c r="B6" s="24" t="s">
        <v>431</v>
      </c>
      <c r="C6" s="24" t="s">
        <v>432</v>
      </c>
      <c r="D6" s="24" t="str">
        <f>"1,0530"</f>
        <v>1,0530</v>
      </c>
      <c r="E6" s="24" t="s">
        <v>71</v>
      </c>
      <c r="F6" s="24" t="s">
        <v>18</v>
      </c>
      <c r="G6" s="25" t="s">
        <v>93</v>
      </c>
      <c r="H6" s="24" t="s">
        <v>93</v>
      </c>
      <c r="I6" s="25" t="s">
        <v>37</v>
      </c>
      <c r="J6" s="25"/>
      <c r="K6" s="24">
        <v>125</v>
      </c>
      <c r="L6" s="24" t="str">
        <f>"131,6250"</f>
        <v>131,6250</v>
      </c>
      <c r="M6" s="24" t="s">
        <v>44</v>
      </c>
    </row>
    <row r="7" spans="1:13" ht="12.75">
      <c r="A7" s="28" t="s">
        <v>433</v>
      </c>
      <c r="B7" s="28" t="s">
        <v>434</v>
      </c>
      <c r="C7" s="28" t="s">
        <v>435</v>
      </c>
      <c r="D7" s="28" t="str">
        <f>"1,0622"</f>
        <v>1,0622</v>
      </c>
      <c r="E7" s="28" t="s">
        <v>71</v>
      </c>
      <c r="F7" s="28" t="s">
        <v>289</v>
      </c>
      <c r="G7" s="28" t="s">
        <v>86</v>
      </c>
      <c r="H7" s="28" t="s">
        <v>187</v>
      </c>
      <c r="I7" s="28" t="s">
        <v>25</v>
      </c>
      <c r="J7" s="29"/>
      <c r="K7" s="28">
        <v>95</v>
      </c>
      <c r="L7" s="28" t="str">
        <f>"100,9090"</f>
        <v>100,9090</v>
      </c>
      <c r="M7" s="28" t="s">
        <v>44</v>
      </c>
    </row>
    <row r="8" spans="1:13" ht="12.75">
      <c r="A8" s="26" t="s">
        <v>436</v>
      </c>
      <c r="B8" s="26" t="s">
        <v>437</v>
      </c>
      <c r="C8" s="26" t="s">
        <v>438</v>
      </c>
      <c r="D8" s="26" t="str">
        <f>"1,1788"</f>
        <v>1,1788</v>
      </c>
      <c r="E8" s="26" t="s">
        <v>17</v>
      </c>
      <c r="F8" s="26" t="s">
        <v>18</v>
      </c>
      <c r="G8" s="26" t="s">
        <v>26</v>
      </c>
      <c r="H8" s="27" t="s">
        <v>272</v>
      </c>
      <c r="I8" s="26" t="s">
        <v>307</v>
      </c>
      <c r="J8" s="27"/>
      <c r="K8" s="26">
        <v>122.5</v>
      </c>
      <c r="L8" s="26" t="str">
        <f>"144,4003"</f>
        <v>144,4003</v>
      </c>
      <c r="M8" s="26" t="s">
        <v>439</v>
      </c>
    </row>
    <row r="10" spans="1:12" ht="15">
      <c r="A10" s="47" t="s">
        <v>234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</row>
    <row r="11" spans="1:13" ht="12.75">
      <c r="A11" s="20" t="s">
        <v>440</v>
      </c>
      <c r="B11" s="20" t="s">
        <v>441</v>
      </c>
      <c r="C11" s="20" t="s">
        <v>442</v>
      </c>
      <c r="D11" s="20" t="str">
        <f>"1,0394"</f>
        <v>1,0394</v>
      </c>
      <c r="E11" s="20" t="s">
        <v>71</v>
      </c>
      <c r="F11" s="20" t="s">
        <v>72</v>
      </c>
      <c r="G11" s="21" t="s">
        <v>26</v>
      </c>
      <c r="H11" s="20" t="s">
        <v>26</v>
      </c>
      <c r="I11" s="20" t="s">
        <v>27</v>
      </c>
      <c r="J11" s="21"/>
      <c r="K11" s="20">
        <v>110</v>
      </c>
      <c r="L11" s="20" t="str">
        <f>"114,3340"</f>
        <v>114,3340</v>
      </c>
      <c r="M11" s="20" t="s">
        <v>443</v>
      </c>
    </row>
    <row r="13" spans="1:12" ht="15">
      <c r="A13" s="47" t="s">
        <v>74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</row>
    <row r="14" spans="1:13" ht="12.75">
      <c r="A14" s="24" t="s">
        <v>444</v>
      </c>
      <c r="B14" s="24" t="s">
        <v>445</v>
      </c>
      <c r="C14" s="24" t="s">
        <v>261</v>
      </c>
      <c r="D14" s="24" t="str">
        <f>"0,9156"</f>
        <v>0,9156</v>
      </c>
      <c r="E14" s="24" t="s">
        <v>71</v>
      </c>
      <c r="F14" s="24" t="s">
        <v>18</v>
      </c>
      <c r="G14" s="24" t="s">
        <v>94</v>
      </c>
      <c r="H14" s="24" t="s">
        <v>27</v>
      </c>
      <c r="I14" s="24" t="s">
        <v>272</v>
      </c>
      <c r="J14" s="25"/>
      <c r="K14" s="24">
        <v>117.5</v>
      </c>
      <c r="L14" s="24" t="str">
        <f>"107,5830"</f>
        <v>107,5830</v>
      </c>
      <c r="M14" s="24" t="s">
        <v>44</v>
      </c>
    </row>
    <row r="15" spans="1:13" ht="12.75">
      <c r="A15" s="28" t="s">
        <v>446</v>
      </c>
      <c r="B15" s="28" t="s">
        <v>447</v>
      </c>
      <c r="C15" s="28" t="s">
        <v>448</v>
      </c>
      <c r="D15" s="28" t="str">
        <f>"0,9244"</f>
        <v>0,9244</v>
      </c>
      <c r="E15" s="28" t="s">
        <v>71</v>
      </c>
      <c r="F15" s="28" t="s">
        <v>18</v>
      </c>
      <c r="G15" s="28" t="s">
        <v>21</v>
      </c>
      <c r="H15" s="29" t="s">
        <v>25</v>
      </c>
      <c r="I15" s="28" t="s">
        <v>25</v>
      </c>
      <c r="J15" s="29"/>
      <c r="K15" s="28">
        <v>95</v>
      </c>
      <c r="L15" s="28" t="str">
        <f>"87,8180"</f>
        <v>87,8180</v>
      </c>
      <c r="M15" s="28" t="s">
        <v>44</v>
      </c>
    </row>
    <row r="16" spans="1:13" ht="12.75">
      <c r="A16" s="28" t="s">
        <v>449</v>
      </c>
      <c r="B16" s="28" t="s">
        <v>450</v>
      </c>
      <c r="C16" s="28" t="s">
        <v>451</v>
      </c>
      <c r="D16" s="28" t="str">
        <f>"0,9328"</f>
        <v>0,9328</v>
      </c>
      <c r="E16" s="28" t="s">
        <v>71</v>
      </c>
      <c r="F16" s="28" t="s">
        <v>18</v>
      </c>
      <c r="G16" s="28" t="s">
        <v>25</v>
      </c>
      <c r="H16" s="29" t="s">
        <v>94</v>
      </c>
      <c r="I16" s="28" t="s">
        <v>26</v>
      </c>
      <c r="J16" s="29"/>
      <c r="K16" s="28">
        <v>105</v>
      </c>
      <c r="L16" s="28" t="str">
        <f>"97,9429"</f>
        <v>97,9429</v>
      </c>
      <c r="M16" s="28" t="s">
        <v>44</v>
      </c>
    </row>
    <row r="17" spans="1:13" ht="12.75">
      <c r="A17" s="28" t="s">
        <v>452</v>
      </c>
      <c r="B17" s="28" t="s">
        <v>453</v>
      </c>
      <c r="C17" s="28" t="s">
        <v>258</v>
      </c>
      <c r="D17" s="28" t="str">
        <f>"0,9849"</f>
        <v>0,9849</v>
      </c>
      <c r="E17" s="28" t="s">
        <v>71</v>
      </c>
      <c r="F17" s="28" t="s">
        <v>18</v>
      </c>
      <c r="G17" s="28" t="s">
        <v>86</v>
      </c>
      <c r="H17" s="28" t="s">
        <v>25</v>
      </c>
      <c r="I17" s="28" t="s">
        <v>26</v>
      </c>
      <c r="J17" s="29"/>
      <c r="K17" s="28">
        <v>105</v>
      </c>
      <c r="L17" s="28" t="str">
        <f>"103,4155"</f>
        <v>103,4155</v>
      </c>
      <c r="M17" s="28" t="s">
        <v>44</v>
      </c>
    </row>
    <row r="18" spans="1:13" ht="12.75">
      <c r="A18" s="26" t="s">
        <v>446</v>
      </c>
      <c r="B18" s="26" t="s">
        <v>454</v>
      </c>
      <c r="C18" s="26" t="s">
        <v>448</v>
      </c>
      <c r="D18" s="26" t="str">
        <f>"1,0002"</f>
        <v>1,0002</v>
      </c>
      <c r="E18" s="26" t="s">
        <v>71</v>
      </c>
      <c r="F18" s="26" t="s">
        <v>18</v>
      </c>
      <c r="G18" s="26" t="s">
        <v>21</v>
      </c>
      <c r="H18" s="27" t="s">
        <v>25</v>
      </c>
      <c r="I18" s="26" t="s">
        <v>25</v>
      </c>
      <c r="J18" s="27"/>
      <c r="K18" s="26">
        <v>95</v>
      </c>
      <c r="L18" s="26" t="str">
        <f>"95,0191"</f>
        <v>95,0191</v>
      </c>
      <c r="M18" s="26" t="s">
        <v>44</v>
      </c>
    </row>
    <row r="20" spans="1:12" ht="15">
      <c r="A20" s="47" t="s">
        <v>13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3" ht="12.75">
      <c r="A21" s="20" t="s">
        <v>455</v>
      </c>
      <c r="B21" s="20" t="s">
        <v>456</v>
      </c>
      <c r="C21" s="20" t="s">
        <v>457</v>
      </c>
      <c r="D21" s="20" t="str">
        <f>"0,8483"</f>
        <v>0,8483</v>
      </c>
      <c r="E21" s="20" t="s">
        <v>17</v>
      </c>
      <c r="F21" s="20" t="s">
        <v>18</v>
      </c>
      <c r="G21" s="21" t="s">
        <v>93</v>
      </c>
      <c r="H21" s="20" t="s">
        <v>458</v>
      </c>
      <c r="I21" s="21" t="s">
        <v>135</v>
      </c>
      <c r="J21" s="21"/>
      <c r="K21" s="20">
        <v>137.5</v>
      </c>
      <c r="L21" s="20" t="str">
        <f>"116,6481"</f>
        <v>116,6481</v>
      </c>
      <c r="M21" s="20" t="s">
        <v>44</v>
      </c>
    </row>
    <row r="23" spans="1:12" ht="15">
      <c r="A23" s="47" t="s">
        <v>13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1:13" ht="12.75">
      <c r="A24" s="24" t="s">
        <v>459</v>
      </c>
      <c r="B24" s="24" t="s">
        <v>460</v>
      </c>
      <c r="C24" s="24" t="s">
        <v>461</v>
      </c>
      <c r="D24" s="24" t="str">
        <f>"0,7012"</f>
        <v>0,7012</v>
      </c>
      <c r="E24" s="24" t="s">
        <v>71</v>
      </c>
      <c r="F24" s="24" t="s">
        <v>462</v>
      </c>
      <c r="G24" s="25" t="s">
        <v>91</v>
      </c>
      <c r="H24" s="24" t="s">
        <v>307</v>
      </c>
      <c r="I24" s="24" t="s">
        <v>93</v>
      </c>
      <c r="J24" s="25"/>
      <c r="K24" s="24">
        <v>125</v>
      </c>
      <c r="L24" s="24" t="str">
        <f>"87,6438"</f>
        <v>87,6438</v>
      </c>
      <c r="M24" s="24" t="s">
        <v>44</v>
      </c>
    </row>
    <row r="25" spans="1:13" ht="12.75">
      <c r="A25" s="28" t="s">
        <v>463</v>
      </c>
      <c r="B25" s="28" t="s">
        <v>464</v>
      </c>
      <c r="C25" s="28" t="s">
        <v>264</v>
      </c>
      <c r="D25" s="28" t="str">
        <f>"0,6955"</f>
        <v>0,6955</v>
      </c>
      <c r="E25" s="28" t="s">
        <v>71</v>
      </c>
      <c r="F25" s="28" t="s">
        <v>18</v>
      </c>
      <c r="G25" s="28" t="s">
        <v>465</v>
      </c>
      <c r="H25" s="28" t="s">
        <v>466</v>
      </c>
      <c r="I25" s="28" t="s">
        <v>35</v>
      </c>
      <c r="J25" s="29"/>
      <c r="K25" s="28">
        <v>210</v>
      </c>
      <c r="L25" s="28" t="str">
        <f>"146,0445"</f>
        <v>146,0445</v>
      </c>
      <c r="M25" s="28" t="s">
        <v>44</v>
      </c>
    </row>
    <row r="26" spans="1:13" ht="12.75">
      <c r="A26" s="28" t="s">
        <v>467</v>
      </c>
      <c r="B26" s="28" t="s">
        <v>468</v>
      </c>
      <c r="C26" s="28" t="s">
        <v>469</v>
      </c>
      <c r="D26" s="28" t="str">
        <f>"0,7181"</f>
        <v>0,7181</v>
      </c>
      <c r="E26" s="28" t="s">
        <v>71</v>
      </c>
      <c r="F26" s="28" t="s">
        <v>470</v>
      </c>
      <c r="G26" s="28" t="s">
        <v>466</v>
      </c>
      <c r="H26" s="28" t="s">
        <v>189</v>
      </c>
      <c r="I26" s="28" t="s">
        <v>471</v>
      </c>
      <c r="J26" s="29"/>
      <c r="K26" s="28">
        <v>207.5</v>
      </c>
      <c r="L26" s="28" t="str">
        <f>"148,9954"</f>
        <v>148,9954</v>
      </c>
      <c r="M26" s="28" t="s">
        <v>44</v>
      </c>
    </row>
    <row r="27" spans="1:13" ht="12.75">
      <c r="A27" s="28" t="s">
        <v>472</v>
      </c>
      <c r="B27" s="28" t="s">
        <v>473</v>
      </c>
      <c r="C27" s="28" t="s">
        <v>264</v>
      </c>
      <c r="D27" s="28" t="str">
        <f>"0,6955"</f>
        <v>0,6955</v>
      </c>
      <c r="E27" s="28" t="s">
        <v>71</v>
      </c>
      <c r="F27" s="28" t="s">
        <v>18</v>
      </c>
      <c r="G27" s="28" t="s">
        <v>105</v>
      </c>
      <c r="H27" s="28" t="s">
        <v>466</v>
      </c>
      <c r="I27" s="29" t="s">
        <v>35</v>
      </c>
      <c r="J27" s="29"/>
      <c r="K27" s="28">
        <v>202.5</v>
      </c>
      <c r="L27" s="28" t="str">
        <f>"140,8286"</f>
        <v>140,8286</v>
      </c>
      <c r="M27" s="28" t="s">
        <v>44</v>
      </c>
    </row>
    <row r="28" spans="1:13" ht="12.75">
      <c r="A28" s="26" t="s">
        <v>474</v>
      </c>
      <c r="B28" s="26" t="s">
        <v>475</v>
      </c>
      <c r="C28" s="26" t="s">
        <v>476</v>
      </c>
      <c r="D28" s="26" t="str">
        <f>"0,7314"</f>
        <v>0,7314</v>
      </c>
      <c r="E28" s="26" t="s">
        <v>71</v>
      </c>
      <c r="F28" s="26" t="s">
        <v>18</v>
      </c>
      <c r="G28" s="27" t="s">
        <v>124</v>
      </c>
      <c r="H28" s="26" t="s">
        <v>124</v>
      </c>
      <c r="I28" s="27" t="s">
        <v>477</v>
      </c>
      <c r="J28" s="27"/>
      <c r="K28" s="26">
        <v>165</v>
      </c>
      <c r="L28" s="26" t="str">
        <f>"120,6728"</f>
        <v>120,6728</v>
      </c>
      <c r="M28" s="26" t="s">
        <v>478</v>
      </c>
    </row>
    <row r="30" spans="1:12" ht="15">
      <c r="A30" s="47" t="s">
        <v>67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</row>
    <row r="31" spans="1:13" ht="12.75">
      <c r="A31" s="20" t="s">
        <v>479</v>
      </c>
      <c r="B31" s="20" t="s">
        <v>480</v>
      </c>
      <c r="C31" s="20" t="s">
        <v>481</v>
      </c>
      <c r="D31" s="20" t="str">
        <f>"0,6456"</f>
        <v>0,6456</v>
      </c>
      <c r="E31" s="20" t="s">
        <v>71</v>
      </c>
      <c r="F31" s="20" t="s">
        <v>289</v>
      </c>
      <c r="G31" s="20" t="s">
        <v>134</v>
      </c>
      <c r="H31" s="20" t="s">
        <v>38</v>
      </c>
      <c r="I31" s="21" t="s">
        <v>118</v>
      </c>
      <c r="J31" s="21"/>
      <c r="K31" s="20">
        <v>150</v>
      </c>
      <c r="L31" s="20" t="str">
        <f>"96,8400"</f>
        <v>96,8400</v>
      </c>
      <c r="M31" s="20" t="s">
        <v>44</v>
      </c>
    </row>
    <row r="33" spans="1:12" ht="15">
      <c r="A33" s="47" t="s">
        <v>95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4" spans="1:13" ht="12.75">
      <c r="A34" s="24" t="s">
        <v>329</v>
      </c>
      <c r="B34" s="24" t="s">
        <v>330</v>
      </c>
      <c r="C34" s="24" t="s">
        <v>331</v>
      </c>
      <c r="D34" s="24" t="str">
        <f>"0,6230"</f>
        <v>0,6230</v>
      </c>
      <c r="E34" s="24" t="s">
        <v>71</v>
      </c>
      <c r="F34" s="24" t="s">
        <v>332</v>
      </c>
      <c r="G34" s="24" t="s">
        <v>36</v>
      </c>
      <c r="H34" s="24" t="s">
        <v>40</v>
      </c>
      <c r="I34" s="25" t="s">
        <v>482</v>
      </c>
      <c r="J34" s="25"/>
      <c r="K34" s="24">
        <v>230</v>
      </c>
      <c r="L34" s="24" t="str">
        <f>"143,2900"</f>
        <v>143,2900</v>
      </c>
      <c r="M34" s="24" t="s">
        <v>44</v>
      </c>
    </row>
    <row r="35" spans="1:13" ht="12.75">
      <c r="A35" s="28" t="s">
        <v>483</v>
      </c>
      <c r="B35" s="28" t="s">
        <v>484</v>
      </c>
      <c r="C35" s="28" t="s">
        <v>485</v>
      </c>
      <c r="D35" s="28" t="str">
        <f>"0,6119"</f>
        <v>0,6119</v>
      </c>
      <c r="E35" s="28" t="s">
        <v>71</v>
      </c>
      <c r="F35" s="28" t="s">
        <v>486</v>
      </c>
      <c r="G35" s="28" t="s">
        <v>124</v>
      </c>
      <c r="H35" s="28" t="s">
        <v>130</v>
      </c>
      <c r="I35" s="28" t="s">
        <v>111</v>
      </c>
      <c r="J35" s="29"/>
      <c r="K35" s="28">
        <v>195</v>
      </c>
      <c r="L35" s="28" t="str">
        <f>"119,3108"</f>
        <v>119,3108</v>
      </c>
      <c r="M35" s="28" t="s">
        <v>44</v>
      </c>
    </row>
    <row r="36" spans="1:13" ht="12.75">
      <c r="A36" s="26" t="s">
        <v>487</v>
      </c>
      <c r="B36" s="26" t="s">
        <v>488</v>
      </c>
      <c r="C36" s="26" t="s">
        <v>341</v>
      </c>
      <c r="D36" s="26" t="str">
        <f>"0,6207"</f>
        <v>0,6207</v>
      </c>
      <c r="E36" s="26" t="s">
        <v>71</v>
      </c>
      <c r="F36" s="26" t="s">
        <v>18</v>
      </c>
      <c r="G36" s="26" t="s">
        <v>104</v>
      </c>
      <c r="H36" s="26" t="s">
        <v>111</v>
      </c>
      <c r="I36" s="26" t="s">
        <v>189</v>
      </c>
      <c r="J36" s="27"/>
      <c r="K36" s="26">
        <v>205</v>
      </c>
      <c r="L36" s="26" t="str">
        <f>"127,2426"</f>
        <v>127,2426</v>
      </c>
      <c r="M36" s="26" t="s">
        <v>44</v>
      </c>
    </row>
    <row r="38" spans="1:12" ht="15">
      <c r="A38" s="47" t="s">
        <v>100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</row>
    <row r="39" spans="1:13" ht="12.75">
      <c r="A39" s="24" t="s">
        <v>489</v>
      </c>
      <c r="B39" s="24" t="s">
        <v>490</v>
      </c>
      <c r="C39" s="24" t="s">
        <v>344</v>
      </c>
      <c r="D39" s="24" t="str">
        <f>"0,5838"</f>
        <v>0,5838</v>
      </c>
      <c r="E39" s="24" t="s">
        <v>288</v>
      </c>
      <c r="F39" s="24" t="s">
        <v>289</v>
      </c>
      <c r="G39" s="24" t="s">
        <v>104</v>
      </c>
      <c r="H39" s="25" t="s">
        <v>466</v>
      </c>
      <c r="I39" s="25" t="s">
        <v>466</v>
      </c>
      <c r="J39" s="25"/>
      <c r="K39" s="24">
        <v>170</v>
      </c>
      <c r="L39" s="24" t="str">
        <f>"99,2460"</f>
        <v>99,2460</v>
      </c>
      <c r="M39" s="24" t="s">
        <v>44</v>
      </c>
    </row>
    <row r="40" spans="1:13" ht="12.75">
      <c r="A40" s="28" t="s">
        <v>491</v>
      </c>
      <c r="B40" s="28" t="s">
        <v>492</v>
      </c>
      <c r="C40" s="28" t="s">
        <v>493</v>
      </c>
      <c r="D40" s="28" t="str">
        <f>"0,5932"</f>
        <v>0,5932</v>
      </c>
      <c r="E40" s="28" t="s">
        <v>71</v>
      </c>
      <c r="F40" s="28" t="s">
        <v>18</v>
      </c>
      <c r="G40" s="28" t="s">
        <v>35</v>
      </c>
      <c r="H40" s="28" t="s">
        <v>494</v>
      </c>
      <c r="I40" s="28" t="s">
        <v>41</v>
      </c>
      <c r="J40" s="29"/>
      <c r="K40" s="28">
        <v>245</v>
      </c>
      <c r="L40" s="28" t="str">
        <f>"145,3218"</f>
        <v>145,3218</v>
      </c>
      <c r="M40" s="28" t="s">
        <v>44</v>
      </c>
    </row>
    <row r="41" spans="1:13" ht="12.75">
      <c r="A41" s="26" t="s">
        <v>495</v>
      </c>
      <c r="B41" s="26" t="s">
        <v>496</v>
      </c>
      <c r="C41" s="26" t="s">
        <v>497</v>
      </c>
      <c r="D41" s="26" t="str">
        <f>"0,6029"</f>
        <v>0,6029</v>
      </c>
      <c r="E41" s="26" t="s">
        <v>71</v>
      </c>
      <c r="F41" s="26" t="s">
        <v>470</v>
      </c>
      <c r="G41" s="26" t="s">
        <v>195</v>
      </c>
      <c r="H41" s="27" t="s">
        <v>42</v>
      </c>
      <c r="I41" s="27" t="s">
        <v>42</v>
      </c>
      <c r="J41" s="27"/>
      <c r="K41" s="26">
        <v>250</v>
      </c>
      <c r="L41" s="26" t="str">
        <f>"150,7322"</f>
        <v>150,7322</v>
      </c>
      <c r="M41" s="26" t="s">
        <v>44</v>
      </c>
    </row>
    <row r="43" spans="1:12" ht="15">
      <c r="A43" s="47" t="s">
        <v>30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</row>
    <row r="44" spans="1:13" ht="12.75">
      <c r="A44" s="24" t="s">
        <v>498</v>
      </c>
      <c r="B44" s="24" t="s">
        <v>499</v>
      </c>
      <c r="C44" s="24" t="s">
        <v>500</v>
      </c>
      <c r="D44" s="24" t="str">
        <f>"0,5664"</f>
        <v>0,5664</v>
      </c>
      <c r="E44" s="24" t="s">
        <v>71</v>
      </c>
      <c r="F44" s="24" t="s">
        <v>501</v>
      </c>
      <c r="G44" s="24" t="s">
        <v>40</v>
      </c>
      <c r="H44" s="24" t="s">
        <v>41</v>
      </c>
      <c r="I44" s="25" t="s">
        <v>413</v>
      </c>
      <c r="J44" s="25"/>
      <c r="K44" s="24">
        <v>245</v>
      </c>
      <c r="L44" s="24" t="str">
        <f>"138,7802"</f>
        <v>138,7802</v>
      </c>
      <c r="M44" s="24" t="s">
        <v>44</v>
      </c>
    </row>
    <row r="45" spans="1:13" ht="12.75">
      <c r="A45" s="26" t="s">
        <v>502</v>
      </c>
      <c r="B45" s="26" t="s">
        <v>503</v>
      </c>
      <c r="C45" s="26" t="s">
        <v>504</v>
      </c>
      <c r="D45" s="26" t="str">
        <f>"0,5652"</f>
        <v>0,5652</v>
      </c>
      <c r="E45" s="26" t="s">
        <v>71</v>
      </c>
      <c r="F45" s="26" t="s">
        <v>18</v>
      </c>
      <c r="G45" s="26" t="s">
        <v>505</v>
      </c>
      <c r="H45" s="26" t="s">
        <v>194</v>
      </c>
      <c r="I45" s="26" t="s">
        <v>195</v>
      </c>
      <c r="J45" s="27"/>
      <c r="K45" s="26">
        <v>250</v>
      </c>
      <c r="L45" s="26" t="str">
        <f>"141,3000"</f>
        <v>141,3000</v>
      </c>
      <c r="M45" s="26" t="s">
        <v>44</v>
      </c>
    </row>
    <row r="47" spans="1:12" ht="15">
      <c r="A47" s="47" t="s">
        <v>126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</row>
    <row r="48" spans="1:13" ht="12.75">
      <c r="A48" s="20" t="s">
        <v>506</v>
      </c>
      <c r="B48" s="20" t="s">
        <v>507</v>
      </c>
      <c r="C48" s="20" t="s">
        <v>508</v>
      </c>
      <c r="D48" s="20" t="str">
        <f>"0,7974"</f>
        <v>0,7974</v>
      </c>
      <c r="E48" s="20" t="s">
        <v>71</v>
      </c>
      <c r="F48" s="20" t="s">
        <v>18</v>
      </c>
      <c r="G48" s="20" t="s">
        <v>73</v>
      </c>
      <c r="H48" s="20" t="s">
        <v>105</v>
      </c>
      <c r="I48" s="21" t="s">
        <v>35</v>
      </c>
      <c r="J48" s="21"/>
      <c r="K48" s="20">
        <v>190</v>
      </c>
      <c r="L48" s="20" t="str">
        <f>"151,4974"</f>
        <v>151,4974</v>
      </c>
      <c r="M48" s="20" t="s">
        <v>44</v>
      </c>
    </row>
    <row r="50" ht="15">
      <c r="E50" s="22" t="s">
        <v>45</v>
      </c>
    </row>
    <row r="51" ht="15">
      <c r="E51" s="22" t="s">
        <v>46</v>
      </c>
    </row>
    <row r="52" ht="15">
      <c r="E52" s="22" t="s">
        <v>47</v>
      </c>
    </row>
    <row r="53" ht="15">
      <c r="E53" s="22" t="s">
        <v>48</v>
      </c>
    </row>
    <row r="54" ht="15">
      <c r="E54" s="22" t="s">
        <v>48</v>
      </c>
    </row>
    <row r="55" ht="15">
      <c r="E55" s="22" t="s">
        <v>49</v>
      </c>
    </row>
    <row r="56" ht="15">
      <c r="E56" s="22"/>
    </row>
    <row r="58" spans="1:2" ht="18">
      <c r="A58" s="23" t="s">
        <v>50</v>
      </c>
      <c r="B58" s="23"/>
    </row>
    <row r="59" spans="1:2" ht="15">
      <c r="A59" s="30" t="s">
        <v>51</v>
      </c>
      <c r="B59" s="30"/>
    </row>
    <row r="60" spans="1:2" ht="14.25">
      <c r="A60" s="32" t="s">
        <v>139</v>
      </c>
      <c r="B60" s="33"/>
    </row>
    <row r="61" spans="1:5" ht="15">
      <c r="A61" s="34" t="s">
        <v>53</v>
      </c>
      <c r="B61" s="34" t="s">
        <v>54</v>
      </c>
      <c r="C61" s="34" t="s">
        <v>55</v>
      </c>
      <c r="D61" s="34" t="s">
        <v>56</v>
      </c>
      <c r="E61" s="34" t="s">
        <v>57</v>
      </c>
    </row>
    <row r="62" spans="1:5" ht="12.75">
      <c r="A62" s="31" t="s">
        <v>444</v>
      </c>
      <c r="B62" s="19" t="s">
        <v>140</v>
      </c>
      <c r="C62" s="19" t="s">
        <v>143</v>
      </c>
      <c r="D62" s="19" t="s">
        <v>272</v>
      </c>
      <c r="E62" s="35" t="s">
        <v>509</v>
      </c>
    </row>
    <row r="64" spans="1:2" ht="14.25">
      <c r="A64" s="32" t="s">
        <v>62</v>
      </c>
      <c r="B64" s="33"/>
    </row>
    <row r="65" spans="1:5" ht="15">
      <c r="A65" s="34" t="s">
        <v>53</v>
      </c>
      <c r="B65" s="34" t="s">
        <v>54</v>
      </c>
      <c r="C65" s="34" t="s">
        <v>55</v>
      </c>
      <c r="D65" s="34" t="s">
        <v>56</v>
      </c>
      <c r="E65" s="34" t="s">
        <v>57</v>
      </c>
    </row>
    <row r="66" spans="1:5" ht="12.75">
      <c r="A66" s="31" t="s">
        <v>430</v>
      </c>
      <c r="B66" s="19" t="s">
        <v>63</v>
      </c>
      <c r="C66" s="19" t="s">
        <v>374</v>
      </c>
      <c r="D66" s="19" t="s">
        <v>93</v>
      </c>
      <c r="E66" s="35" t="s">
        <v>510</v>
      </c>
    </row>
    <row r="67" spans="1:5" ht="12.75">
      <c r="A67" s="31" t="s">
        <v>433</v>
      </c>
      <c r="B67" s="19" t="s">
        <v>63</v>
      </c>
      <c r="C67" s="19" t="s">
        <v>374</v>
      </c>
      <c r="D67" s="19" t="s">
        <v>25</v>
      </c>
      <c r="E67" s="35" t="s">
        <v>511</v>
      </c>
    </row>
    <row r="68" spans="1:5" ht="12.75">
      <c r="A68" s="31" t="s">
        <v>446</v>
      </c>
      <c r="B68" s="19" t="s">
        <v>63</v>
      </c>
      <c r="C68" s="19" t="s">
        <v>143</v>
      </c>
      <c r="D68" s="19" t="s">
        <v>25</v>
      </c>
      <c r="E68" s="35" t="s">
        <v>512</v>
      </c>
    </row>
    <row r="70" spans="1:2" ht="14.25">
      <c r="A70" s="32" t="s">
        <v>52</v>
      </c>
      <c r="B70" s="33"/>
    </row>
    <row r="71" spans="1:5" ht="15">
      <c r="A71" s="34" t="s">
        <v>53</v>
      </c>
      <c r="B71" s="34" t="s">
        <v>54</v>
      </c>
      <c r="C71" s="34" t="s">
        <v>55</v>
      </c>
      <c r="D71" s="34" t="s">
        <v>56</v>
      </c>
      <c r="E71" s="34" t="s">
        <v>57</v>
      </c>
    </row>
    <row r="72" spans="1:5" ht="12.75">
      <c r="A72" s="31" t="s">
        <v>436</v>
      </c>
      <c r="B72" s="19" t="s">
        <v>58</v>
      </c>
      <c r="C72" s="19" t="s">
        <v>374</v>
      </c>
      <c r="D72" s="19" t="s">
        <v>307</v>
      </c>
      <c r="E72" s="35" t="s">
        <v>513</v>
      </c>
    </row>
    <row r="73" spans="1:5" ht="12.75">
      <c r="A73" s="31" t="s">
        <v>455</v>
      </c>
      <c r="B73" s="19" t="s">
        <v>161</v>
      </c>
      <c r="C73" s="19" t="s">
        <v>59</v>
      </c>
      <c r="D73" s="19" t="s">
        <v>458</v>
      </c>
      <c r="E73" s="35" t="s">
        <v>514</v>
      </c>
    </row>
    <row r="74" spans="1:5" ht="12.75">
      <c r="A74" s="31" t="s">
        <v>440</v>
      </c>
      <c r="B74" s="19" t="s">
        <v>161</v>
      </c>
      <c r="C74" s="19" t="s">
        <v>376</v>
      </c>
      <c r="D74" s="19" t="s">
        <v>27</v>
      </c>
      <c r="E74" s="35" t="s">
        <v>515</v>
      </c>
    </row>
    <row r="75" spans="1:5" ht="12.75">
      <c r="A75" s="31" t="s">
        <v>452</v>
      </c>
      <c r="B75" s="19" t="s">
        <v>58</v>
      </c>
      <c r="C75" s="19" t="s">
        <v>143</v>
      </c>
      <c r="D75" s="19" t="s">
        <v>26</v>
      </c>
      <c r="E75" s="35" t="s">
        <v>516</v>
      </c>
    </row>
    <row r="76" spans="1:5" ht="12.75">
      <c r="A76" s="31" t="s">
        <v>449</v>
      </c>
      <c r="B76" s="19" t="s">
        <v>161</v>
      </c>
      <c r="C76" s="19" t="s">
        <v>143</v>
      </c>
      <c r="D76" s="19" t="s">
        <v>26</v>
      </c>
      <c r="E76" s="35" t="s">
        <v>517</v>
      </c>
    </row>
    <row r="77" spans="1:5" ht="12.75">
      <c r="A77" s="31" t="s">
        <v>446</v>
      </c>
      <c r="B77" s="19" t="s">
        <v>58</v>
      </c>
      <c r="C77" s="19" t="s">
        <v>143</v>
      </c>
      <c r="D77" s="19" t="s">
        <v>25</v>
      </c>
      <c r="E77" s="35" t="s">
        <v>518</v>
      </c>
    </row>
    <row r="80" spans="1:2" ht="15">
      <c r="A80" s="30" t="s">
        <v>61</v>
      </c>
      <c r="B80" s="30"/>
    </row>
    <row r="81" spans="1:2" ht="14.25">
      <c r="A81" s="32" t="s">
        <v>139</v>
      </c>
      <c r="B81" s="33"/>
    </row>
    <row r="82" spans="1:5" ht="15">
      <c r="A82" s="34" t="s">
        <v>53</v>
      </c>
      <c r="B82" s="34" t="s">
        <v>54</v>
      </c>
      <c r="C82" s="34" t="s">
        <v>55</v>
      </c>
      <c r="D82" s="34" t="s">
        <v>56</v>
      </c>
      <c r="E82" s="34" t="s">
        <v>57</v>
      </c>
    </row>
    <row r="83" spans="1:5" ht="12.75">
      <c r="A83" s="31" t="s">
        <v>459</v>
      </c>
      <c r="B83" s="19" t="s">
        <v>142</v>
      </c>
      <c r="C83" s="19" t="s">
        <v>59</v>
      </c>
      <c r="D83" s="19" t="s">
        <v>93</v>
      </c>
      <c r="E83" s="35" t="s">
        <v>519</v>
      </c>
    </row>
    <row r="85" spans="1:2" ht="14.25">
      <c r="A85" s="32" t="s">
        <v>369</v>
      </c>
      <c r="B85" s="33"/>
    </row>
    <row r="86" spans="1:5" ht="15">
      <c r="A86" s="34" t="s">
        <v>53</v>
      </c>
      <c r="B86" s="34" t="s">
        <v>54</v>
      </c>
      <c r="C86" s="34" t="s">
        <v>55</v>
      </c>
      <c r="D86" s="34" t="s">
        <v>56</v>
      </c>
      <c r="E86" s="34" t="s">
        <v>57</v>
      </c>
    </row>
    <row r="87" spans="1:5" ht="12.75">
      <c r="A87" s="31" t="s">
        <v>489</v>
      </c>
      <c r="B87" s="19" t="s">
        <v>370</v>
      </c>
      <c r="C87" s="19" t="s">
        <v>152</v>
      </c>
      <c r="D87" s="19" t="s">
        <v>104</v>
      </c>
      <c r="E87" s="35" t="s">
        <v>520</v>
      </c>
    </row>
    <row r="88" spans="1:5" ht="12.75">
      <c r="A88" s="31" t="s">
        <v>479</v>
      </c>
      <c r="B88" s="19" t="s">
        <v>370</v>
      </c>
      <c r="C88" s="19" t="s">
        <v>148</v>
      </c>
      <c r="D88" s="19" t="s">
        <v>38</v>
      </c>
      <c r="E88" s="35" t="s">
        <v>521</v>
      </c>
    </row>
    <row r="90" spans="1:2" ht="14.25">
      <c r="A90" s="32" t="s">
        <v>62</v>
      </c>
      <c r="B90" s="33"/>
    </row>
    <row r="91" spans="1:5" ht="15">
      <c r="A91" s="34" t="s">
        <v>53</v>
      </c>
      <c r="B91" s="34" t="s">
        <v>54</v>
      </c>
      <c r="C91" s="34" t="s">
        <v>55</v>
      </c>
      <c r="D91" s="34" t="s">
        <v>56</v>
      </c>
      <c r="E91" s="34" t="s">
        <v>57</v>
      </c>
    </row>
    <row r="92" spans="1:5" ht="12.75">
      <c r="A92" s="31" t="s">
        <v>467</v>
      </c>
      <c r="B92" s="19" t="s">
        <v>63</v>
      </c>
      <c r="C92" s="19" t="s">
        <v>59</v>
      </c>
      <c r="D92" s="19" t="s">
        <v>471</v>
      </c>
      <c r="E92" s="35" t="s">
        <v>522</v>
      </c>
    </row>
    <row r="93" spans="1:5" ht="12.75">
      <c r="A93" s="31" t="s">
        <v>463</v>
      </c>
      <c r="B93" s="19" t="s">
        <v>63</v>
      </c>
      <c r="C93" s="19" t="s">
        <v>59</v>
      </c>
      <c r="D93" s="19" t="s">
        <v>35</v>
      </c>
      <c r="E93" s="35" t="s">
        <v>523</v>
      </c>
    </row>
    <row r="94" spans="1:5" ht="12.75">
      <c r="A94" s="31" t="s">
        <v>491</v>
      </c>
      <c r="B94" s="19" t="s">
        <v>63</v>
      </c>
      <c r="C94" s="19" t="s">
        <v>152</v>
      </c>
      <c r="D94" s="19" t="s">
        <v>41</v>
      </c>
      <c r="E94" s="35" t="s">
        <v>524</v>
      </c>
    </row>
    <row r="95" spans="1:5" ht="12.75">
      <c r="A95" s="31" t="s">
        <v>329</v>
      </c>
      <c r="B95" s="19" t="s">
        <v>63</v>
      </c>
      <c r="C95" s="19" t="s">
        <v>157</v>
      </c>
      <c r="D95" s="19" t="s">
        <v>40</v>
      </c>
      <c r="E95" s="35" t="s">
        <v>525</v>
      </c>
    </row>
    <row r="96" spans="1:5" ht="12.75">
      <c r="A96" s="31" t="s">
        <v>472</v>
      </c>
      <c r="B96" s="19" t="s">
        <v>63</v>
      </c>
      <c r="C96" s="19" t="s">
        <v>59</v>
      </c>
      <c r="D96" s="19" t="s">
        <v>466</v>
      </c>
      <c r="E96" s="35" t="s">
        <v>526</v>
      </c>
    </row>
    <row r="97" spans="1:5" ht="12.75">
      <c r="A97" s="31" t="s">
        <v>498</v>
      </c>
      <c r="B97" s="19" t="s">
        <v>63</v>
      </c>
      <c r="C97" s="19" t="s">
        <v>64</v>
      </c>
      <c r="D97" s="19" t="s">
        <v>41</v>
      </c>
      <c r="E97" s="35" t="s">
        <v>527</v>
      </c>
    </row>
    <row r="98" spans="1:5" ht="12.75">
      <c r="A98" s="31" t="s">
        <v>474</v>
      </c>
      <c r="B98" s="19" t="s">
        <v>63</v>
      </c>
      <c r="C98" s="19" t="s">
        <v>59</v>
      </c>
      <c r="D98" s="19" t="s">
        <v>124</v>
      </c>
      <c r="E98" s="35" t="s">
        <v>528</v>
      </c>
    </row>
    <row r="99" spans="1:5" ht="12.75">
      <c r="A99" s="31" t="s">
        <v>483</v>
      </c>
      <c r="B99" s="19" t="s">
        <v>63</v>
      </c>
      <c r="C99" s="19" t="s">
        <v>157</v>
      </c>
      <c r="D99" s="19" t="s">
        <v>111</v>
      </c>
      <c r="E99" s="35" t="s">
        <v>529</v>
      </c>
    </row>
    <row r="101" spans="1:2" ht="14.25">
      <c r="A101" s="32" t="s">
        <v>52</v>
      </c>
      <c r="B101" s="33"/>
    </row>
    <row r="102" spans="1:5" ht="15">
      <c r="A102" s="34" t="s">
        <v>53</v>
      </c>
      <c r="B102" s="34" t="s">
        <v>54</v>
      </c>
      <c r="C102" s="34" t="s">
        <v>55</v>
      </c>
      <c r="D102" s="34" t="s">
        <v>56</v>
      </c>
      <c r="E102" s="34" t="s">
        <v>57</v>
      </c>
    </row>
    <row r="103" spans="1:5" ht="12.75">
      <c r="A103" s="31" t="s">
        <v>506</v>
      </c>
      <c r="B103" s="19" t="s">
        <v>151</v>
      </c>
      <c r="C103" s="19" t="s">
        <v>145</v>
      </c>
      <c r="D103" s="19" t="s">
        <v>105</v>
      </c>
      <c r="E103" s="35" t="s">
        <v>530</v>
      </c>
    </row>
    <row r="104" spans="1:5" ht="12.75">
      <c r="A104" s="31" t="s">
        <v>495</v>
      </c>
      <c r="B104" s="19" t="s">
        <v>161</v>
      </c>
      <c r="C104" s="19" t="s">
        <v>152</v>
      </c>
      <c r="D104" s="19" t="s">
        <v>195</v>
      </c>
      <c r="E104" s="35" t="s">
        <v>531</v>
      </c>
    </row>
    <row r="105" spans="1:5" ht="12.75">
      <c r="A105" s="31" t="s">
        <v>502</v>
      </c>
      <c r="B105" s="19" t="s">
        <v>161</v>
      </c>
      <c r="C105" s="19" t="s">
        <v>64</v>
      </c>
      <c r="D105" s="19" t="s">
        <v>195</v>
      </c>
      <c r="E105" s="35" t="s">
        <v>532</v>
      </c>
    </row>
    <row r="106" spans="1:5" ht="12.75">
      <c r="A106" s="31" t="s">
        <v>487</v>
      </c>
      <c r="B106" s="19" t="s">
        <v>161</v>
      </c>
      <c r="C106" s="19" t="s">
        <v>157</v>
      </c>
      <c r="D106" s="19" t="s">
        <v>189</v>
      </c>
      <c r="E106" s="35" t="s">
        <v>533</v>
      </c>
    </row>
  </sheetData>
  <sheetProtection/>
  <mergeCells count="21">
    <mergeCell ref="A43:L43"/>
    <mergeCell ref="M3:M4"/>
    <mergeCell ref="A5:L5"/>
    <mergeCell ref="A10:L10"/>
    <mergeCell ref="A13:L13"/>
    <mergeCell ref="A47:L47"/>
    <mergeCell ref="A20:L20"/>
    <mergeCell ref="A23:L23"/>
    <mergeCell ref="A30:L30"/>
    <mergeCell ref="A33:L33"/>
    <mergeCell ref="A38:L3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O20" sqref="O20"/>
    </sheetView>
  </sheetViews>
  <sheetFormatPr defaultColWidth="9.00390625" defaultRowHeight="12.75"/>
  <cols>
    <col min="1" max="1" width="24.75390625" style="19" bestFit="1" customWidth="1"/>
    <col min="2" max="2" width="19.125" style="19" bestFit="1" customWidth="1"/>
    <col min="3" max="4" width="6.625" style="19" bestFit="1" customWidth="1"/>
    <col min="5" max="5" width="21.75390625" style="19" bestFit="1" customWidth="1"/>
    <col min="6" max="6" width="24.875" style="19" bestFit="1" customWidth="1"/>
    <col min="7" max="9" width="5.625" style="19" bestFit="1" customWidth="1"/>
    <col min="10" max="10" width="4.25390625" style="19" bestFit="1" customWidth="1"/>
    <col min="11" max="11" width="5.625" style="19" bestFit="1" customWidth="1"/>
    <col min="12" max="13" width="2.125" style="19" bestFit="1" customWidth="1"/>
    <col min="14" max="14" width="4.25390625" style="19" bestFit="1" customWidth="1"/>
    <col min="15" max="15" width="5.625" style="19" bestFit="1" customWidth="1"/>
    <col min="16" max="17" width="2.125" style="19" bestFit="1" customWidth="1"/>
    <col min="18" max="18" width="4.25390625" style="19" bestFit="1" customWidth="1"/>
    <col min="19" max="19" width="7.75390625" style="19" bestFit="1" customWidth="1"/>
    <col min="20" max="20" width="6.625" style="19" bestFit="1" customWidth="1"/>
    <col min="21" max="21" width="8.25390625" style="19" bestFit="1" customWidth="1"/>
  </cols>
  <sheetData>
    <row r="1" spans="1:21" s="1" customFormat="1" ht="15" customHeight="1">
      <c r="A1" s="36" t="s">
        <v>694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8"/>
    </row>
    <row r="2" spans="1:21" s="1" customFormat="1" ht="81.7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1"/>
    </row>
    <row r="3" spans="1:21" s="2" customFormat="1" ht="12.75" customHeight="1">
      <c r="A3" s="42" t="s">
        <v>0</v>
      </c>
      <c r="B3" s="44" t="s">
        <v>12</v>
      </c>
      <c r="C3" s="46" t="s">
        <v>5</v>
      </c>
      <c r="D3" s="46" t="s">
        <v>10</v>
      </c>
      <c r="E3" s="46" t="s">
        <v>8</v>
      </c>
      <c r="F3" s="46" t="s">
        <v>11</v>
      </c>
      <c r="G3" s="46" t="s">
        <v>1</v>
      </c>
      <c r="H3" s="46"/>
      <c r="I3" s="46"/>
      <c r="J3" s="46"/>
      <c r="K3" s="46" t="s">
        <v>2</v>
      </c>
      <c r="L3" s="46"/>
      <c r="M3" s="46"/>
      <c r="N3" s="46"/>
      <c r="O3" s="46" t="s">
        <v>3</v>
      </c>
      <c r="P3" s="46"/>
      <c r="Q3" s="46"/>
      <c r="R3" s="46"/>
      <c r="S3" s="46" t="s">
        <v>4</v>
      </c>
      <c r="T3" s="46" t="s">
        <v>7</v>
      </c>
      <c r="U3" s="48" t="s">
        <v>6</v>
      </c>
    </row>
    <row r="4" spans="1:21" s="2" customFormat="1" ht="21" customHeight="1" thickBot="1">
      <c r="A4" s="43"/>
      <c r="B4" s="45"/>
      <c r="C4" s="45"/>
      <c r="D4" s="45"/>
      <c r="E4" s="45"/>
      <c r="F4" s="45"/>
      <c r="G4" s="3">
        <v>1</v>
      </c>
      <c r="H4" s="3">
        <v>2</v>
      </c>
      <c r="I4" s="3">
        <v>3</v>
      </c>
      <c r="J4" s="3" t="s">
        <v>9</v>
      </c>
      <c r="K4" s="3">
        <v>1</v>
      </c>
      <c r="L4" s="3">
        <v>2</v>
      </c>
      <c r="M4" s="3">
        <v>3</v>
      </c>
      <c r="N4" s="3" t="s">
        <v>9</v>
      </c>
      <c r="O4" s="3">
        <v>1</v>
      </c>
      <c r="P4" s="3">
        <v>2</v>
      </c>
      <c r="Q4" s="3">
        <v>3</v>
      </c>
      <c r="R4" s="3" t="s">
        <v>9</v>
      </c>
      <c r="S4" s="45"/>
      <c r="T4" s="45"/>
      <c r="U4" s="49"/>
    </row>
    <row r="5" spans="1:20" ht="15">
      <c r="A5" s="50" t="s">
        <v>67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1" ht="12.75">
      <c r="A6" s="20" t="s">
        <v>68</v>
      </c>
      <c r="B6" s="20" t="s">
        <v>69</v>
      </c>
      <c r="C6" s="20" t="s">
        <v>70</v>
      </c>
      <c r="D6" s="20" t="str">
        <f>"0,6508"</f>
        <v>0,6508</v>
      </c>
      <c r="E6" s="20" t="s">
        <v>71</v>
      </c>
      <c r="F6" s="20" t="s">
        <v>72</v>
      </c>
      <c r="G6" s="21" t="s">
        <v>38</v>
      </c>
      <c r="H6" s="21" t="s">
        <v>39</v>
      </c>
      <c r="I6" s="21" t="s">
        <v>39</v>
      </c>
      <c r="J6" s="21"/>
      <c r="K6" s="21" t="s">
        <v>27</v>
      </c>
      <c r="L6" s="21"/>
      <c r="M6" s="21"/>
      <c r="N6" s="21"/>
      <c r="O6" s="21" t="s">
        <v>73</v>
      </c>
      <c r="P6" s="21"/>
      <c r="Q6" s="21"/>
      <c r="R6" s="21"/>
      <c r="S6" s="20">
        <v>0</v>
      </c>
      <c r="T6" s="20" t="str">
        <f>"0,0000"</f>
        <v>0,0000</v>
      </c>
      <c r="U6" s="20" t="s">
        <v>44</v>
      </c>
    </row>
    <row r="8" ht="15">
      <c r="E8" s="22" t="s">
        <v>45</v>
      </c>
    </row>
    <row r="9" ht="15">
      <c r="E9" s="22" t="s">
        <v>46</v>
      </c>
    </row>
    <row r="10" ht="15">
      <c r="E10" s="22" t="s">
        <v>47</v>
      </c>
    </row>
    <row r="11" ht="15">
      <c r="E11" s="22" t="s">
        <v>48</v>
      </c>
    </row>
    <row r="12" ht="15">
      <c r="E12" s="22" t="s">
        <v>48</v>
      </c>
    </row>
    <row r="13" ht="15">
      <c r="E13" s="22" t="s">
        <v>49</v>
      </c>
    </row>
    <row r="14" ht="15">
      <c r="E14" s="22"/>
    </row>
    <row r="16" spans="1:2" ht="18">
      <c r="A16" s="23" t="s">
        <v>50</v>
      </c>
      <c r="B16" s="23"/>
    </row>
  </sheetData>
  <sheetProtection/>
  <mergeCells count="14"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26.75390625" style="4" bestFit="1" customWidth="1"/>
    <col min="2" max="2" width="26.625" style="1" bestFit="1" customWidth="1"/>
    <col min="3" max="3" width="10.125" style="1" bestFit="1" customWidth="1"/>
    <col min="4" max="4" width="8.25390625" style="1" bestFit="1" customWidth="1"/>
    <col min="5" max="5" width="21.75390625" style="5" bestFit="1" customWidth="1"/>
    <col min="6" max="6" width="7.75390625" style="5" bestFit="1" customWidth="1"/>
    <col min="7" max="9" width="5.625" style="1" bestFit="1" customWidth="1"/>
    <col min="10" max="10" width="4.25390625" style="1" bestFit="1" customWidth="1"/>
    <col min="11" max="13" width="5.625" style="1" bestFit="1" customWidth="1"/>
    <col min="14" max="14" width="4.25390625" style="1" bestFit="1" customWidth="1"/>
    <col min="15" max="17" width="5.625" style="1" bestFit="1" customWidth="1"/>
    <col min="18" max="18" width="4.25390625" style="1" bestFit="1" customWidth="1"/>
    <col min="19" max="19" width="7.75390625" style="4" bestFit="1" customWidth="1"/>
    <col min="20" max="20" width="8.625" style="1" bestFit="1" customWidth="1"/>
    <col min="21" max="21" width="15.25390625" style="5" bestFit="1" customWidth="1"/>
    <col min="22" max="16384" width="9.125" style="1" customWidth="1"/>
  </cols>
  <sheetData>
    <row r="1" spans="1:21" ht="15" customHeight="1">
      <c r="A1" s="36" t="s">
        <v>695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8"/>
    </row>
    <row r="2" spans="1:21" ht="81.7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1"/>
    </row>
    <row r="3" spans="1:21" s="2" customFormat="1" ht="12.75" customHeight="1">
      <c r="A3" s="42" t="s">
        <v>0</v>
      </c>
      <c r="B3" s="44" t="s">
        <v>12</v>
      </c>
      <c r="C3" s="46" t="s">
        <v>5</v>
      </c>
      <c r="D3" s="46" t="s">
        <v>10</v>
      </c>
      <c r="E3" s="46" t="s">
        <v>8</v>
      </c>
      <c r="F3" s="46" t="s">
        <v>11</v>
      </c>
      <c r="G3" s="46" t="s">
        <v>1</v>
      </c>
      <c r="H3" s="46"/>
      <c r="I3" s="46"/>
      <c r="J3" s="46"/>
      <c r="K3" s="46" t="s">
        <v>2</v>
      </c>
      <c r="L3" s="46"/>
      <c r="M3" s="46"/>
      <c r="N3" s="46"/>
      <c r="O3" s="46" t="s">
        <v>3</v>
      </c>
      <c r="P3" s="46"/>
      <c r="Q3" s="46"/>
      <c r="R3" s="46"/>
      <c r="S3" s="46" t="s">
        <v>4</v>
      </c>
      <c r="T3" s="46" t="s">
        <v>7</v>
      </c>
      <c r="U3" s="48" t="s">
        <v>6</v>
      </c>
    </row>
    <row r="4" spans="1:21" s="2" customFormat="1" ht="21" customHeight="1" thickBot="1">
      <c r="A4" s="43"/>
      <c r="B4" s="45"/>
      <c r="C4" s="45"/>
      <c r="D4" s="45"/>
      <c r="E4" s="45"/>
      <c r="F4" s="45"/>
      <c r="G4" s="3">
        <v>1</v>
      </c>
      <c r="H4" s="3">
        <v>2</v>
      </c>
      <c r="I4" s="3">
        <v>3</v>
      </c>
      <c r="J4" s="3" t="s">
        <v>9</v>
      </c>
      <c r="K4" s="3">
        <v>1</v>
      </c>
      <c r="L4" s="3">
        <v>2</v>
      </c>
      <c r="M4" s="3">
        <v>3</v>
      </c>
      <c r="N4" s="3" t="s">
        <v>9</v>
      </c>
      <c r="O4" s="3">
        <v>1</v>
      </c>
      <c r="P4" s="3">
        <v>2</v>
      </c>
      <c r="Q4" s="3">
        <v>3</v>
      </c>
      <c r="R4" s="3" t="s">
        <v>9</v>
      </c>
      <c r="S4" s="45"/>
      <c r="T4" s="45"/>
      <c r="U4" s="49"/>
    </row>
    <row r="5" spans="1:20" ht="15">
      <c r="A5" s="51" t="s">
        <v>13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1" ht="12.75">
      <c r="A6" s="6" t="s">
        <v>14</v>
      </c>
      <c r="B6" s="7" t="s">
        <v>15</v>
      </c>
      <c r="C6" s="7" t="s">
        <v>16</v>
      </c>
      <c r="D6" s="7" t="str">
        <f>"0,9095"</f>
        <v>0,9095</v>
      </c>
      <c r="E6" s="8" t="s">
        <v>17</v>
      </c>
      <c r="F6" s="8" t="s">
        <v>18</v>
      </c>
      <c r="G6" s="7" t="s">
        <v>19</v>
      </c>
      <c r="H6" s="7" t="s">
        <v>20</v>
      </c>
      <c r="I6" s="9" t="s">
        <v>21</v>
      </c>
      <c r="J6" s="9"/>
      <c r="K6" s="7" t="s">
        <v>22</v>
      </c>
      <c r="L6" s="9" t="s">
        <v>23</v>
      </c>
      <c r="M6" s="9" t="s">
        <v>24</v>
      </c>
      <c r="N6" s="9"/>
      <c r="O6" s="7" t="s">
        <v>25</v>
      </c>
      <c r="P6" s="7" t="s">
        <v>26</v>
      </c>
      <c r="Q6" s="7" t="s">
        <v>27</v>
      </c>
      <c r="R6" s="9"/>
      <c r="S6" s="6" t="s">
        <v>28</v>
      </c>
      <c r="T6" s="7" t="str">
        <f>"209,1764"</f>
        <v>209,1764</v>
      </c>
      <c r="U6" s="8" t="s">
        <v>29</v>
      </c>
    </row>
    <row r="8" spans="1:20" ht="15">
      <c r="A8" s="52" t="s">
        <v>30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1" ht="12.75">
      <c r="A9" s="6" t="s">
        <v>31</v>
      </c>
      <c r="B9" s="7" t="s">
        <v>32</v>
      </c>
      <c r="C9" s="7" t="s">
        <v>33</v>
      </c>
      <c r="D9" s="7" t="str">
        <f>"0,5635"</f>
        <v>0,5635</v>
      </c>
      <c r="E9" s="8" t="s">
        <v>17</v>
      </c>
      <c r="F9" s="8" t="s">
        <v>18</v>
      </c>
      <c r="G9" s="7" t="s">
        <v>34</v>
      </c>
      <c r="H9" s="7" t="s">
        <v>35</v>
      </c>
      <c r="I9" s="7" t="s">
        <v>36</v>
      </c>
      <c r="J9" s="9"/>
      <c r="K9" s="7" t="s">
        <v>37</v>
      </c>
      <c r="L9" s="7" t="s">
        <v>38</v>
      </c>
      <c r="M9" s="7" t="s">
        <v>39</v>
      </c>
      <c r="N9" s="9"/>
      <c r="O9" s="7" t="s">
        <v>40</v>
      </c>
      <c r="P9" s="7" t="s">
        <v>41</v>
      </c>
      <c r="Q9" s="7" t="s">
        <v>42</v>
      </c>
      <c r="R9" s="9"/>
      <c r="S9" s="6" t="s">
        <v>43</v>
      </c>
      <c r="T9" s="7" t="str">
        <f>"357,8225"</f>
        <v>357,8225</v>
      </c>
      <c r="U9" s="8" t="s">
        <v>44</v>
      </c>
    </row>
    <row r="11" ht="15">
      <c r="E11" s="10" t="s">
        <v>45</v>
      </c>
    </row>
    <row r="12" ht="15">
      <c r="E12" s="10" t="s">
        <v>46</v>
      </c>
    </row>
    <row r="13" ht="15">
      <c r="E13" s="10" t="s">
        <v>47</v>
      </c>
    </row>
    <row r="14" ht="15">
      <c r="E14" s="10" t="s">
        <v>48</v>
      </c>
    </row>
    <row r="15" ht="15">
      <c r="E15" s="10" t="s">
        <v>48</v>
      </c>
    </row>
    <row r="16" ht="15">
      <c r="E16" s="10" t="s">
        <v>49</v>
      </c>
    </row>
    <row r="17" ht="15">
      <c r="E17" s="10"/>
    </row>
    <row r="19" spans="1:2" ht="18">
      <c r="A19" s="11" t="s">
        <v>50</v>
      </c>
      <c r="B19" s="12"/>
    </row>
    <row r="20" spans="1:2" ht="15">
      <c r="A20" s="13" t="s">
        <v>51</v>
      </c>
      <c r="B20" s="14"/>
    </row>
    <row r="21" spans="1:2" ht="14.25">
      <c r="A21" s="16" t="s">
        <v>52</v>
      </c>
      <c r="B21" s="17"/>
    </row>
    <row r="22" spans="1:5" ht="15">
      <c r="A22" s="18" t="s">
        <v>53</v>
      </c>
      <c r="B22" s="18" t="s">
        <v>54</v>
      </c>
      <c r="C22" s="18" t="s">
        <v>55</v>
      </c>
      <c r="D22" s="18" t="s">
        <v>56</v>
      </c>
      <c r="E22" s="18" t="s">
        <v>57</v>
      </c>
    </row>
    <row r="23" spans="1:5" ht="12.75">
      <c r="A23" s="15" t="s">
        <v>14</v>
      </c>
      <c r="B23" s="1" t="s">
        <v>58</v>
      </c>
      <c r="C23" s="1" t="s">
        <v>59</v>
      </c>
      <c r="D23" s="1" t="s">
        <v>40</v>
      </c>
      <c r="E23" s="4" t="s">
        <v>60</v>
      </c>
    </row>
    <row r="26" spans="1:2" ht="15">
      <c r="A26" s="13" t="s">
        <v>61</v>
      </c>
      <c r="B26" s="14"/>
    </row>
    <row r="27" spans="1:2" ht="14.25">
      <c r="A27" s="16" t="s">
        <v>62</v>
      </c>
      <c r="B27" s="17"/>
    </row>
    <row r="28" spans="1:5" ht="15">
      <c r="A28" s="18" t="s">
        <v>53</v>
      </c>
      <c r="B28" s="18" t="s">
        <v>54</v>
      </c>
      <c r="C28" s="18" t="s">
        <v>55</v>
      </c>
      <c r="D28" s="18" t="s">
        <v>56</v>
      </c>
      <c r="E28" s="18" t="s">
        <v>57</v>
      </c>
    </row>
    <row r="29" spans="1:5" ht="12.75">
      <c r="A29" s="15" t="s">
        <v>31</v>
      </c>
      <c r="B29" s="1" t="s">
        <v>63</v>
      </c>
      <c r="C29" s="1" t="s">
        <v>64</v>
      </c>
      <c r="D29" s="1" t="s">
        <v>65</v>
      </c>
      <c r="E29" s="4" t="s">
        <v>66</v>
      </c>
    </row>
  </sheetData>
  <sheetProtection/>
  <mergeCells count="15">
    <mergeCell ref="A5:T5"/>
    <mergeCell ref="A8:T8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  <mergeCell ref="D3:D4"/>
    <mergeCell ref="S3:S4"/>
    <mergeCell ref="T3:T4"/>
  </mergeCells>
  <printOptions/>
  <pageMargins left="0.19" right="0.47" top="0.45" bottom="0.49" header="0.5" footer="0.5"/>
  <pageSetup fitToHeight="100" fitToWidth="1" horizontalDpi="300" verticalDpi="3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Son Oleg</cp:lastModifiedBy>
  <cp:lastPrinted>2008-02-22T21:19:39Z</cp:lastPrinted>
  <dcterms:created xsi:type="dcterms:W3CDTF">2002-06-16T13:36:44Z</dcterms:created>
  <dcterms:modified xsi:type="dcterms:W3CDTF">2020-02-22T12:21:44Z</dcterms:modified>
  <cp:category/>
  <cp:version/>
  <cp:contentType/>
  <cp:contentStatus/>
</cp:coreProperties>
</file>