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800" windowHeight="12495" firstSheet="8" activeTab="14"/>
  </bookViews>
  <sheets>
    <sheet name="AWPA MP soft eq. BP" sheetId="51" r:id="rId1"/>
    <sheet name="WPA soft eq. BP" sheetId="49" r:id="rId2"/>
    <sheet name="MR BP 1_2 bw. AWPA" sheetId="48" r:id="rId3"/>
    <sheet name="MR BP 1 bw. AWPA" sheetId="46" r:id="rId4"/>
    <sheet name="MR BP 1 bw. WPA" sheetId="45" r:id="rId5"/>
    <sheet name="«Excalibur»" sheetId="44" r:id="rId6"/>
    <sheet name="«Rus bullet»" sheetId="43" r:id="rId7"/>
    <sheet name="«Rus brick»" sheetId="42" r:id="rId8"/>
    <sheet name="«Rus HUB»" sheetId="41" r:id="rId9"/>
    <sheet name="«Rus Axle»" sheetId="40" r:id="rId10"/>
    <sheet name="«Russian Roullette»" sheetId="39" r:id="rId11"/>
    <sheet name="WPA SC" sheetId="26" r:id="rId12"/>
    <sheet name="AWPA SC" sheetId="25" r:id="rId13"/>
    <sheet name="AWPA OB" sheetId="23" r:id="rId14"/>
    <sheet name="AWPA raw PL" sheetId="20" r:id="rId15"/>
    <sheet name="AWPA st.ply BP" sheetId="18" r:id="rId16"/>
    <sheet name="AWPA raw BP" sheetId="17" r:id="rId17"/>
    <sheet name="AWPA st.ply DL" sheetId="15" r:id="rId18"/>
    <sheet name="AWPA raw DL" sheetId="14" r:id="rId19"/>
    <sheet name="WPA m.ply PL" sheetId="13" r:id="rId20"/>
    <sheet name="WPA raw PL" sheetId="11" r:id="rId21"/>
    <sheet name="WPA raw BP" sheetId="8" r:id="rId22"/>
    <sheet name="WPA m.ply DL" sheetId="7" r:id="rId23"/>
    <sheet name="WPA st.ply DL" sheetId="6" r:id="rId24"/>
    <sheet name="WPA raw DL" sheetId="5" r:id="rId25"/>
  </sheets>
  <definedNames>
    <definedName name="_xlnm._FilterDatabase" localSheetId="24" hidden="1">'WPA raw DL'!$A$1:$K$3</definedName>
  </definedNames>
  <calcPr calcId="144525" refMode="R1C1"/>
</workbook>
</file>

<file path=xl/sharedStrings.xml><?xml version="1.0" encoding="utf-8"?>
<sst xmlns="http://schemas.openxmlformats.org/spreadsheetml/2006/main" count="3093" uniqueCount="867">
  <si>
    <t>OPEN EUROPE CHAMPIONSHIP WAA-2022
AWPA st. soft eq. benchpress
Moscow/Russian Federation 2 - 3 april 2022 г.</t>
  </si>
  <si>
    <t>Name</t>
  </si>
  <si>
    <t>Age Class
Bith date/Age</t>
  </si>
  <si>
    <t>Body
weight</t>
  </si>
  <si>
    <t>Gloss</t>
  </si>
  <si>
    <t>Team</t>
  </si>
  <si>
    <t>Town/Region</t>
  </si>
  <si>
    <t>Benchpress</t>
  </si>
  <si>
    <t>Result</t>
  </si>
  <si>
    <t>Pts</t>
  </si>
  <si>
    <t>Coach</t>
  </si>
  <si>
    <t>Rec</t>
  </si>
  <si>
    <t>Body Weight Category  75</t>
  </si>
  <si>
    <t>-. Rumynin Dmitriy</t>
  </si>
  <si>
    <t>Masters 45-49 (10.05.1974)/47</t>
  </si>
  <si>
    <t>71,80</t>
  </si>
  <si>
    <t>lichno</t>
  </si>
  <si>
    <t>Moskva</t>
  </si>
  <si>
    <t>150,0</t>
  </si>
  <si>
    <t>155,0</t>
  </si>
  <si>
    <t>160,0</t>
  </si>
  <si>
    <t>Body Weight Category  82.5</t>
  </si>
  <si>
    <t>1. Solodkov Denis</t>
  </si>
  <si>
    <t>Open (24.04.1992)/29</t>
  </si>
  <si>
    <t>80,30</t>
  </si>
  <si>
    <t>Troitsk/Moskovskaya oblast</t>
  </si>
  <si>
    <t>175,0</t>
  </si>
  <si>
    <t>182,5</t>
  </si>
  <si>
    <t>185,0</t>
  </si>
  <si>
    <t>Body Weight Category  110</t>
  </si>
  <si>
    <t>1. Fritsler Andrey</t>
  </si>
  <si>
    <t>Open (11.04.1984)/37</t>
  </si>
  <si>
    <t>104,90</t>
  </si>
  <si>
    <t>Kaliningrad/Kaliningradskaya oblast</t>
  </si>
  <si>
    <t>200,0</t>
  </si>
  <si>
    <t>230,0</t>
  </si>
  <si>
    <t>242,5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</si>
  <si>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</si>
  <si>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</si>
  <si>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</si>
  <si>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</si>
  <si>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</si>
  <si>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</si>
  <si>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</si>
  <si>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</si>
  <si>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Open</t>
  </si>
  <si>
    <t>Age class</t>
  </si>
  <si>
    <t>WC</t>
  </si>
  <si>
    <t>Best</t>
  </si>
  <si>
    <t>Fritsler Andrey</t>
  </si>
  <si>
    <t>110</t>
  </si>
  <si>
    <t>131,2955</t>
  </si>
  <si>
    <t>Solodkov Denis</t>
  </si>
  <si>
    <t>82.5</t>
  </si>
  <si>
    <t>121,3877</t>
  </si>
  <si>
    <t>OPEN EUROPE CHAMPIONSHIP WAA-2022
WPA st. soft eq. benchpress
Moscow/Russian Federation 2 - 3 april 2022 г.</t>
  </si>
  <si>
    <t>Body Weight Category  100</t>
  </si>
  <si>
    <t>1. Boev Vitaliy</t>
  </si>
  <si>
    <t>Open (27.06.1984)/37</t>
  </si>
  <si>
    <t>98,90</t>
  </si>
  <si>
    <t>Orel/Orlovskaya oblast</t>
  </si>
  <si>
    <t>312,5</t>
  </si>
  <si>
    <t>330,0</t>
  </si>
  <si>
    <t>Boev Vitaliy</t>
  </si>
  <si>
    <t>100</t>
  </si>
  <si>
    <t>182,5156</t>
  </si>
  <si>
    <t>OPEN EUROPE CHAMPIONSHIP WAA-2022
Multy-repeat BP 1/2 bw. AWPA
Moscow/Russian Federation 2 - 3 april 2022 г.</t>
  </si>
  <si>
    <t>Multi.rpt. benchpress</t>
  </si>
  <si>
    <t>Tonnage</t>
  </si>
  <si>
    <t>Weight</t>
  </si>
  <si>
    <t>Rpt</t>
  </si>
  <si>
    <t>Body Weight Category  48</t>
  </si>
  <si>
    <t>1. Ponomareva Svetlana</t>
  </si>
  <si>
    <t>Open (02.04.1993)/29</t>
  </si>
  <si>
    <t>47,70</t>
  </si>
  <si>
    <t>25,0</t>
  </si>
  <si>
    <t>32,0</t>
  </si>
  <si>
    <t>Women</t>
  </si>
  <si>
    <t>Ponomareva Svetlana</t>
  </si>
  <si>
    <t>48</t>
  </si>
  <si>
    <t>800,0</t>
  </si>
  <si>
    <t>947,6800</t>
  </si>
  <si>
    <t>OPEN EUROPE CHAMPIONSHIP WAA-2022
Multy-repeat BP 1 bw. AWPA
Moscow/Russian Federation 2 - 3 april 2022 г.</t>
  </si>
  <si>
    <t>Body Weight Category  67.5</t>
  </si>
  <si>
    <t>1. Kovalenko Evgeniya</t>
  </si>
  <si>
    <t>Open (21.03.1982)/40</t>
  </si>
  <si>
    <t>65,00</t>
  </si>
  <si>
    <t>komanda Andreya Gorskogo</t>
  </si>
  <si>
    <t>65,0</t>
  </si>
  <si>
    <t>Masters 40-49 (21.03.1982)/40</t>
  </si>
  <si>
    <t>1. Komarevtsev Anton</t>
  </si>
  <si>
    <t>Open (23.01.1987)/35</t>
  </si>
  <si>
    <t>66,70</t>
  </si>
  <si>
    <t>67,5</t>
  </si>
  <si>
    <t>34,0</t>
  </si>
  <si>
    <t>1. Moiseev Sergey</t>
  </si>
  <si>
    <t>Masters 50-59 (14.05.1963)/58</t>
  </si>
  <si>
    <t>72,20</t>
  </si>
  <si>
    <t>72,5</t>
  </si>
  <si>
    <t>1. Krikunov Yuriy</t>
  </si>
  <si>
    <t>Masters 60+ (25.05.1957)/64</t>
  </si>
  <si>
    <t>74,30</t>
  </si>
  <si>
    <t>Vladivostok/Primorskiy kray</t>
  </si>
  <si>
    <t>75,0</t>
  </si>
  <si>
    <t>13,0</t>
  </si>
  <si>
    <t>1. Ogluzdin Aleksandr</t>
  </si>
  <si>
    <t>Teen 13-19 (06.05.2003)/18</t>
  </si>
  <si>
    <t>79,50</t>
  </si>
  <si>
    <t>Vologda/Vologodskaya oblast</t>
  </si>
  <si>
    <t>80,0</t>
  </si>
  <si>
    <t>26,0</t>
  </si>
  <si>
    <t>1. Gurkovskiy Sergey</t>
  </si>
  <si>
    <t>Open (17.08.1990)/31</t>
  </si>
  <si>
    <t>80,60</t>
  </si>
  <si>
    <t>82,5</t>
  </si>
  <si>
    <t>29,0</t>
  </si>
  <si>
    <t>Body Weight Category  90</t>
  </si>
  <si>
    <t>1. Gorskiy Andrey</t>
  </si>
  <si>
    <t>Open (21.12.1983)/38</t>
  </si>
  <si>
    <t>83,60</t>
  </si>
  <si>
    <t>85,0</t>
  </si>
  <si>
    <t>27,0</t>
  </si>
  <si>
    <t>1. Aristov Dmitriy</t>
  </si>
  <si>
    <t>Masters 40-49 (21.01.1981)/41</t>
  </si>
  <si>
    <t>89,30</t>
  </si>
  <si>
    <t>Moskovskiy/Moskovskaya oblast</t>
  </si>
  <si>
    <t>90,0</t>
  </si>
  <si>
    <t>18,0</t>
  </si>
  <si>
    <t>1. Ignatov Pavel</t>
  </si>
  <si>
    <t>Open (02.01.1980)/42</t>
  </si>
  <si>
    <t>98,70</t>
  </si>
  <si>
    <t>Vyksa/Nizhegorodskaya oblast</t>
  </si>
  <si>
    <t>100,0</t>
  </si>
  <si>
    <t>17,0</t>
  </si>
  <si>
    <t>Masters 40-49 (02.01.1980)/42</t>
  </si>
  <si>
    <t>Kovalenko Evgeniya</t>
  </si>
  <si>
    <t>67.5</t>
  </si>
  <si>
    <t>1625,0</t>
  </si>
  <si>
    <t>1505,8062</t>
  </si>
  <si>
    <t>Masters</t>
  </si>
  <si>
    <t>Masters 40-49</t>
  </si>
  <si>
    <t>Teen</t>
  </si>
  <si>
    <t>Ogluzdin Aleksandr</t>
  </si>
  <si>
    <t>Teen 13-19</t>
  </si>
  <si>
    <t>2080,0</t>
  </si>
  <si>
    <t>1374,0480</t>
  </si>
  <si>
    <t>Komarevtsev Anton</t>
  </si>
  <si>
    <t>2295,0</t>
  </si>
  <si>
    <t>1735,2495</t>
  </si>
  <si>
    <t>Gurkovskiy Sergey</t>
  </si>
  <si>
    <t>2392,5</t>
  </si>
  <si>
    <t>1565,8913</t>
  </si>
  <si>
    <t>Gorskiy Andrey</t>
  </si>
  <si>
    <t>90</t>
  </si>
  <si>
    <t>1466,9639</t>
  </si>
  <si>
    <t>Ignatov Pavel</t>
  </si>
  <si>
    <t>1700,0</t>
  </si>
  <si>
    <t>993,7350</t>
  </si>
  <si>
    <t>Moiseev Sergey</t>
  </si>
  <si>
    <t>Masters 50-59</t>
  </si>
  <si>
    <t>75</t>
  </si>
  <si>
    <t>1812,5</t>
  </si>
  <si>
    <t>1658,1967</t>
  </si>
  <si>
    <t>1013,6097</t>
  </si>
  <si>
    <t>Aristov Dmitriy</t>
  </si>
  <si>
    <t>1620,0</t>
  </si>
  <si>
    <t>1005,5267</t>
  </si>
  <si>
    <t>Krikunov Yuriy</t>
  </si>
  <si>
    <t>Masters 60+</t>
  </si>
  <si>
    <t>975,0</t>
  </si>
  <si>
    <t>980,2236</t>
  </si>
  <si>
    <t>OPEN EUROPE CHAMPIONSHIP WAA-2022
Multy-repeat BP 1 bw. WPA
Moscow/Russian Federation 2 - 3 april 2022 г.</t>
  </si>
  <si>
    <t>Body Weight Category  44</t>
  </si>
  <si>
    <t>1. Speranskaya Anastasiya</t>
  </si>
  <si>
    <t>Open (22.12.2015)/6</t>
  </si>
  <si>
    <t>22,00</t>
  </si>
  <si>
    <t>22,5</t>
  </si>
  <si>
    <t>1. Maloukh Maksim</t>
  </si>
  <si>
    <t>Open (09.05.1987)/34</t>
  </si>
  <si>
    <t>68,00</t>
  </si>
  <si>
    <t>Blagoveshchensk/Amurskaya oblast</t>
  </si>
  <si>
    <t>70,0</t>
  </si>
  <si>
    <t>46,0</t>
  </si>
  <si>
    <t>1. Petruk Aleksandr</t>
  </si>
  <si>
    <t>Masters 40-49 (18.09.1978)/43</t>
  </si>
  <si>
    <t>69,50</t>
  </si>
  <si>
    <t>43,0</t>
  </si>
  <si>
    <t>1. Kolesnikov Vladislav</t>
  </si>
  <si>
    <t>Open (19.06.1984)/37</t>
  </si>
  <si>
    <t>106,00</t>
  </si>
  <si>
    <t>CSKA STRONG</t>
  </si>
  <si>
    <t>107,5</t>
  </si>
  <si>
    <t>19,0</t>
  </si>
  <si>
    <t>Speranskaya Anastasiya</t>
  </si>
  <si>
    <t>44</t>
  </si>
  <si>
    <t>585,0</t>
  </si>
  <si>
    <t>786,0645</t>
  </si>
  <si>
    <t>Maloukh Maksim</t>
  </si>
  <si>
    <t>3220,0</t>
  </si>
  <si>
    <t>2395,0359</t>
  </si>
  <si>
    <t>Kolesnikov Vladislav</t>
  </si>
  <si>
    <t>2042,5</t>
  </si>
  <si>
    <t>1161,8761</t>
  </si>
  <si>
    <t>Petruk Aleksandr</t>
  </si>
  <si>
    <t>3010,0</t>
  </si>
  <si>
    <t>2266,8127</t>
  </si>
  <si>
    <t>OPEN EUROPE CHAMPIONSHIP WAA-2022
«Excalibur»
Moscow/Russian Federation 2 - 3 april 2022 г.</t>
  </si>
  <si>
    <t>Armlift</t>
  </si>
  <si>
    <t>Body Weight Category  70</t>
  </si>
  <si>
    <t>Masters 40-44 (18.09.1978)/43</t>
  </si>
  <si>
    <t>0,00</t>
  </si>
  <si>
    <t>60,0</t>
  </si>
  <si>
    <t>Body Weight Category  80</t>
  </si>
  <si>
    <t>1. Umerenkov Daniil</t>
  </si>
  <si>
    <t>Junior (01.03.2004)/18</t>
  </si>
  <si>
    <t>80,00</t>
  </si>
  <si>
    <t>Kursk/Kurskaya oblast</t>
  </si>
  <si>
    <t>50,0</t>
  </si>
  <si>
    <t>Open (01.03.2004)/18</t>
  </si>
  <si>
    <t>Masters 60-64 (25.05.1957)/64</t>
  </si>
  <si>
    <t>1. Finokhin Aleksey</t>
  </si>
  <si>
    <t>Masters 45-49 (20.02.1977)/45</t>
  </si>
  <si>
    <t>95,70</t>
  </si>
  <si>
    <t>55,0</t>
  </si>
  <si>
    <t>1. Borisov Igor</t>
  </si>
  <si>
    <t>Masters 55-59 (10.04.1963)/58</t>
  </si>
  <si>
    <t>109,60</t>
  </si>
  <si>
    <t>Navashino/Nizhegorodskaya oblast</t>
  </si>
  <si>
    <t>77,5</t>
  </si>
  <si>
    <t>87,5</t>
  </si>
  <si>
    <t>Body Weight Category  125</t>
  </si>
  <si>
    <t>-. Lukyanov Sergey</t>
  </si>
  <si>
    <t>Masters 65-69 (25.10.1955)/66</t>
  </si>
  <si>
    <t>119,80</t>
  </si>
  <si>
    <t>Junior</t>
  </si>
  <si>
    <t>Umerenkov Daniil</t>
  </si>
  <si>
    <t>80</t>
  </si>
  <si>
    <t>55,9130</t>
  </si>
  <si>
    <t>Masters 60-64</t>
  </si>
  <si>
    <t>75,4018</t>
  </si>
  <si>
    <t>Borisov Igor</t>
  </si>
  <si>
    <t>Masters 55-59</t>
  </si>
  <si>
    <t>63,6092</t>
  </si>
  <si>
    <t>Finokhin Aleksey</t>
  </si>
  <si>
    <t>Masters 45-49</t>
  </si>
  <si>
    <t>37,5274</t>
  </si>
  <si>
    <t>Masters 40-44</t>
  </si>
  <si>
    <t>70</t>
  </si>
  <si>
    <t>0,0000</t>
  </si>
  <si>
    <t>OPEN EUROPE CHAMPIONSHIP WAA-2022
«Russian bullet»
Moscow/Russian Federation 2 - 3 april 2022 г.</t>
  </si>
  <si>
    <t>OPEN EUROPE CHAMPIONSHIP WAA-2022
«Russian brick»
Moscow/Russian Federation 2 - 3 april 2022 г.</t>
  </si>
  <si>
    <t>39,0</t>
  </si>
  <si>
    <t>44,0</t>
  </si>
  <si>
    <t>49,0</t>
  </si>
  <si>
    <t>54,0</t>
  </si>
  <si>
    <t>1. Lukyanov Sergey</t>
  </si>
  <si>
    <t>59,0</t>
  </si>
  <si>
    <t>35,5212</t>
  </si>
  <si>
    <t>54,2893</t>
  </si>
  <si>
    <t>Lukyanov Sergey</t>
  </si>
  <si>
    <t>Masters 65-69</t>
  </si>
  <si>
    <t>125</t>
  </si>
  <si>
    <t>40,8066</t>
  </si>
  <si>
    <t>30,6474</t>
  </si>
  <si>
    <t>OPEN EUROPE CHAMPIONSHIP WAA-2022
«Russian HUB»
Moscow/Russian Federation 2 - 3 april 2022 г.</t>
  </si>
  <si>
    <t>15,0</t>
  </si>
  <si>
    <t>17,5</t>
  </si>
  <si>
    <t>20,0</t>
  </si>
  <si>
    <t>20,1072</t>
  </si>
  <si>
    <t>12,5091</t>
  </si>
  <si>
    <t>OPEN EUROPE CHAMPIONSHIP WAA-2022
«Russian Axle»
Moscow/Russian Federation 2 - 3 april 2022 г.</t>
  </si>
  <si>
    <t>Body Weight Category  60</t>
  </si>
  <si>
    <t>1. Tokareva Ekaterina</t>
  </si>
  <si>
    <t>Junior (16.10.2000)/21</t>
  </si>
  <si>
    <t>54,50</t>
  </si>
  <si>
    <t>30,0</t>
  </si>
  <si>
    <t>40,0</t>
  </si>
  <si>
    <t>1. Enina Elena</t>
  </si>
  <si>
    <t>Open (10.05.1989)/32</t>
  </si>
  <si>
    <t>52,10</t>
  </si>
  <si>
    <t>Nosorog</t>
  </si>
  <si>
    <t>110,0</t>
  </si>
  <si>
    <t>120,0</t>
  </si>
  <si>
    <t>130,0</t>
  </si>
  <si>
    <t>1. Klimashin Ilya</t>
  </si>
  <si>
    <t>Junior (25.07.2006)/15</t>
  </si>
  <si>
    <t>76,60</t>
  </si>
  <si>
    <t>Penza/Penzenskaya oblast</t>
  </si>
  <si>
    <t>132,5</t>
  </si>
  <si>
    <t>140,0</t>
  </si>
  <si>
    <t>2. Klimashin Mikhail</t>
  </si>
  <si>
    <t>Junior (21.04.2009)/12</t>
  </si>
  <si>
    <t>77,60</t>
  </si>
  <si>
    <t>1. Kolosov Ivan</t>
  </si>
  <si>
    <t>Open (21.09.1992)/29</t>
  </si>
  <si>
    <t>78,40</t>
  </si>
  <si>
    <t>Tokareva Ekaterina</t>
  </si>
  <si>
    <t>60</t>
  </si>
  <si>
    <t>53,3450</t>
  </si>
  <si>
    <t>Enina Elena</t>
  </si>
  <si>
    <t>88,4720</t>
  </si>
  <si>
    <t>Klimashin Ilya</t>
  </si>
  <si>
    <t>89,8350</t>
  </si>
  <si>
    <t>Klimashin Mikhail</t>
  </si>
  <si>
    <t>53,7440</t>
  </si>
  <si>
    <t>Kolosov Ivan</t>
  </si>
  <si>
    <t>86,7100</t>
  </si>
  <si>
    <t>130,6965</t>
  </si>
  <si>
    <t>90,3713</t>
  </si>
  <si>
    <t>OPEN EUROPE CHAMPIONSHIP WAA-2022
«Russian Roullette»
Moscow/Russian Federation 2 - 3 april 2022 г.</t>
  </si>
  <si>
    <t>50,5</t>
  </si>
  <si>
    <t>58,0</t>
  </si>
  <si>
    <t>63,0</t>
  </si>
  <si>
    <t>55,5</t>
  </si>
  <si>
    <t>60,5</t>
  </si>
  <si>
    <t>Open (10.04.1963)/58</t>
  </si>
  <si>
    <t>68,0</t>
  </si>
  <si>
    <t>73,0</t>
  </si>
  <si>
    <t>75,5</t>
  </si>
  <si>
    <t>78,0</t>
  </si>
  <si>
    <t>65,5</t>
  </si>
  <si>
    <t>39,3240</t>
  </si>
  <si>
    <t>80,5</t>
  </si>
  <si>
    <t>45,3295</t>
  </si>
  <si>
    <t>60,8241</t>
  </si>
  <si>
    <t>58,5204</t>
  </si>
  <si>
    <t>56,6296</t>
  </si>
  <si>
    <t>OPEN EUROPE CUP WPA/AWPA
WPA Strict Curl
Moscow/Russian Federation 2 - 3 april 2022 г.</t>
  </si>
  <si>
    <t>Shv/Mel</t>
  </si>
  <si>
    <t>Biceps curl</t>
  </si>
  <si>
    <t>57,5</t>
  </si>
  <si>
    <t>45,0</t>
  </si>
  <si>
    <t>39,6073</t>
  </si>
  <si>
    <t>26,6784</t>
  </si>
  <si>
    <t>OPEN EUROPE CUP WPA/AWPA
AWPA Strict Curl
Moscow/Russian Federation 2 - 3 april 2022 г.</t>
  </si>
  <si>
    <t>1. Ischenko Dmitriy</t>
  </si>
  <si>
    <t>Open (10.12.1996)/25</t>
  </si>
  <si>
    <t>66,50</t>
  </si>
  <si>
    <t>1. Tyurin Sergey</t>
  </si>
  <si>
    <t>Open (03.08.1978)/43</t>
  </si>
  <si>
    <t>74,50</t>
  </si>
  <si>
    <t>62,5</t>
  </si>
  <si>
    <t>2. Gorlanov Aleksey</t>
  </si>
  <si>
    <t>Open (15.11.1984)/37</t>
  </si>
  <si>
    <t>74,10</t>
  </si>
  <si>
    <t>Balashikha/Moskovskaya oblast</t>
  </si>
  <si>
    <t>52,5</t>
  </si>
  <si>
    <t>Masters 40-44 (03.08.1978)/43</t>
  </si>
  <si>
    <t>2. Petrukhin Vasiliy</t>
  </si>
  <si>
    <t>Masters 40-44 (03.10.1978)/43</t>
  </si>
  <si>
    <t>35,0</t>
  </si>
  <si>
    <t>1. Galnykin Kirill</t>
  </si>
  <si>
    <t>Juniors 20-23 (13.09.1999)/22</t>
  </si>
  <si>
    <t>81,20</t>
  </si>
  <si>
    <t>1. Karpov Ivan</t>
  </si>
  <si>
    <t>Open (09.12.1987)/34</t>
  </si>
  <si>
    <t>80,80</t>
  </si>
  <si>
    <t>1. Agapov Dmitriy</t>
  </si>
  <si>
    <t>Masters 40-44 (30.04.1979)/42</t>
  </si>
  <si>
    <t>Pushkino/Moskovskaya oblast</t>
  </si>
  <si>
    <t>1. Ponomarev Eduard</t>
  </si>
  <si>
    <t>Open (16.07.1984)/37</t>
  </si>
  <si>
    <t>89,00</t>
  </si>
  <si>
    <t>Tambov/Tambovskaya oblast</t>
  </si>
  <si>
    <t>Masters 40-44 (21.01.1981)/41</t>
  </si>
  <si>
    <t>Masters 40-44 (02.01.1980)/42</t>
  </si>
  <si>
    <t>98,80</t>
  </si>
  <si>
    <t>1. Lomakin Andrey</t>
  </si>
  <si>
    <t>Masters 45-49 (21.09.1976)/45</t>
  </si>
  <si>
    <t>94,30</t>
  </si>
  <si>
    <t>Juniors</t>
  </si>
  <si>
    <t>Galnykin Kirill</t>
  </si>
  <si>
    <t>Juniors 20-23</t>
  </si>
  <si>
    <t>31,3100</t>
  </si>
  <si>
    <t>Ponomarev Eduard</t>
  </si>
  <si>
    <t>41,8810</t>
  </si>
  <si>
    <t>Ischenko Dmitriy</t>
  </si>
  <si>
    <t>40,4635</t>
  </si>
  <si>
    <t>Tyurin Sergey</t>
  </si>
  <si>
    <t>40,0800</t>
  </si>
  <si>
    <t>Karpov Ivan</t>
  </si>
  <si>
    <t>39,9000</t>
  </si>
  <si>
    <t>Gorlanov Aleksey</t>
  </si>
  <si>
    <t>33,5400</t>
  </si>
  <si>
    <t>Agapov Dmitriy</t>
  </si>
  <si>
    <t>46,2982</t>
  </si>
  <si>
    <t>43,6951</t>
  </si>
  <si>
    <t>40,8014</t>
  </si>
  <si>
    <t>Petrukhin Vasiliy</t>
  </si>
  <si>
    <t>39,2653</t>
  </si>
  <si>
    <t>35,3919</t>
  </si>
  <si>
    <t>Lomakin Andrey</t>
  </si>
  <si>
    <t>34,3542</t>
  </si>
  <si>
    <t>33,7208</t>
  </si>
  <si>
    <t>OPEN EUROPE CUP WPA/AWPA
AWPA OVERHEAD BENCH
Moscow/Russian Federation 2 - 3 april 2022 г.</t>
  </si>
  <si>
    <t>Overhead press</t>
  </si>
  <si>
    <t>1. Umerenkova Yuliya</t>
  </si>
  <si>
    <t>Open (09.12.1980)/41</t>
  </si>
  <si>
    <t>76,20</t>
  </si>
  <si>
    <t>Masters 40-44 (09.12.1980)/41</t>
  </si>
  <si>
    <t>Umerenkova Yuliya</t>
  </si>
  <si>
    <t>39,2370</t>
  </si>
  <si>
    <t>39,3547</t>
  </si>
  <si>
    <t>37,3416</t>
  </si>
  <si>
    <t>OPEN EUROPE CUP WPA/AWPA
AWPA raw powerlifting
Moscow/Russian Federation 2 - 3 april 2022 г.</t>
  </si>
  <si>
    <t>Squat</t>
  </si>
  <si>
    <t>Deadlift</t>
  </si>
  <si>
    <t>Total</t>
  </si>
  <si>
    <t>Body Weight Category  52</t>
  </si>
  <si>
    <t>1. Papkova Yana</t>
  </si>
  <si>
    <t>Teen 13-15 (20.06.2007)/14</t>
  </si>
  <si>
    <t>48,80</t>
  </si>
  <si>
    <t>32,5</t>
  </si>
  <si>
    <t>37,5</t>
  </si>
  <si>
    <t>1. Savelyeva Nadezhda</t>
  </si>
  <si>
    <t>Open (11.01.1987)/35</t>
  </si>
  <si>
    <t>58,00</t>
  </si>
  <si>
    <t>95,0</t>
  </si>
  <si>
    <t>137,5</t>
  </si>
  <si>
    <t>2. Burtseva Daria</t>
  </si>
  <si>
    <t>Open (26.07.1996)/25</t>
  </si>
  <si>
    <t>59,10</t>
  </si>
  <si>
    <t>1. Yurin Nikita</t>
  </si>
  <si>
    <t>Teen 13-15 (30.07.2006)/15</t>
  </si>
  <si>
    <t>64,40</t>
  </si>
  <si>
    <t>115,0</t>
  </si>
  <si>
    <t>1. Zhilov Evgeniy</t>
  </si>
  <si>
    <t>Open (06.01.1983)/39</t>
  </si>
  <si>
    <t>105,0</t>
  </si>
  <si>
    <t>125,0</t>
  </si>
  <si>
    <t>135,0</t>
  </si>
  <si>
    <t>1. Chaschin Roman</t>
  </si>
  <si>
    <t>Teen 16-17 (11.06.2004)/17</t>
  </si>
  <si>
    <t>78,70</t>
  </si>
  <si>
    <t>Dobryanka/Permskiy kray</t>
  </si>
  <si>
    <t>Minin Vladimir</t>
  </si>
  <si>
    <t>1. Aleshkin Denis</t>
  </si>
  <si>
    <t>Open (04.08.1982)/39</t>
  </si>
  <si>
    <t>78,90</t>
  </si>
  <si>
    <t>Reutov/Moskovskaya oblast</t>
  </si>
  <si>
    <t>165,0</t>
  </si>
  <si>
    <t>170,0</t>
  </si>
  <si>
    <t>112,5</t>
  </si>
  <si>
    <t>117,5</t>
  </si>
  <si>
    <t>180,0</t>
  </si>
  <si>
    <t>190,0</t>
  </si>
  <si>
    <t>1. Migulev Aleksey</t>
  </si>
  <si>
    <t>Open (20.10.1987)/34</t>
  </si>
  <si>
    <t>87,90</t>
  </si>
  <si>
    <t>Dva mladentsa g.Moskva</t>
  </si>
  <si>
    <t>195,0</t>
  </si>
  <si>
    <t>210,0</t>
  </si>
  <si>
    <t>220,0</t>
  </si>
  <si>
    <t>240,0</t>
  </si>
  <si>
    <t>2. Plotkin Artur</t>
  </si>
  <si>
    <t>Open (25.08.1992)/29</t>
  </si>
  <si>
    <t>87,70</t>
  </si>
  <si>
    <t>1. Markov Aleksandr</t>
  </si>
  <si>
    <t>Open (04.03.1990)/32</t>
  </si>
  <si>
    <t>90,90</t>
  </si>
  <si>
    <t>102,5</t>
  </si>
  <si>
    <t>Malyutin Semen</t>
  </si>
  <si>
    <t>1. Bogdanov Anton</t>
  </si>
  <si>
    <t>Open (12.07.1988)/33</t>
  </si>
  <si>
    <t>104,40</t>
  </si>
  <si>
    <t>Body Weight Category  140</t>
  </si>
  <si>
    <t>1. Parshikov Ion</t>
  </si>
  <si>
    <t>Open (14.10.1995)/26</t>
  </si>
  <si>
    <t>125,10</t>
  </si>
  <si>
    <t>Sankt-Peterburg</t>
  </si>
  <si>
    <t>260,0</t>
  </si>
  <si>
    <t>275,0</t>
  </si>
  <si>
    <t>250,0</t>
  </si>
  <si>
    <t>255,0</t>
  </si>
  <si>
    <t>Totall</t>
  </si>
  <si>
    <t>Papkova Yana</t>
  </si>
  <si>
    <t>Teen 13-15</t>
  </si>
  <si>
    <t>52</t>
  </si>
  <si>
    <t>168,2835</t>
  </si>
  <si>
    <t>Savelyeva Nadezhda</t>
  </si>
  <si>
    <t>243,4025</t>
  </si>
  <si>
    <t>Burtseva Daria</t>
  </si>
  <si>
    <t>209,1120</t>
  </si>
  <si>
    <t>Chaschin Roman</t>
  </si>
  <si>
    <t>Teen 16-17</t>
  </si>
  <si>
    <t>400,0</t>
  </si>
  <si>
    <t>256,2000</t>
  </si>
  <si>
    <t>Yurin Nikita</t>
  </si>
  <si>
    <t>247,5</t>
  </si>
  <si>
    <t>187,6050</t>
  </si>
  <si>
    <t>Parshikov Ion</t>
  </si>
  <si>
    <t>140</t>
  </si>
  <si>
    <t>685,0</t>
  </si>
  <si>
    <t>356,8165</t>
  </si>
  <si>
    <t>Migulev Aleksey</t>
  </si>
  <si>
    <t>347,4315</t>
  </si>
  <si>
    <t>Bogdanov Anton</t>
  </si>
  <si>
    <t>600,0</t>
  </si>
  <si>
    <t>326,8800</t>
  </si>
  <si>
    <t>Plotkin Artur</t>
  </si>
  <si>
    <t>545,0</t>
  </si>
  <si>
    <t>324,1115</t>
  </si>
  <si>
    <t>Aleshkin Denis</t>
  </si>
  <si>
    <t>477,5</t>
  </si>
  <si>
    <t>305,3135</t>
  </si>
  <si>
    <t>Zhilov Evgeniy</t>
  </si>
  <si>
    <t>365,0</t>
  </si>
  <si>
    <t>250,0615</t>
  </si>
  <si>
    <t>Markov Aleksandr</t>
  </si>
  <si>
    <t>232,7600</t>
  </si>
  <si>
    <t>OPEN EUROPE CUP WPA/AWPA
AWPA single ply benchpress
Moscow/Russian Federation 2 - 3 april 2022 г.</t>
  </si>
  <si>
    <t>1. Sannikov Vladislav</t>
  </si>
  <si>
    <t>Masters 80up (29.10.1938)/83</t>
  </si>
  <si>
    <t>72,80</t>
  </si>
  <si>
    <t>Korolev/Moskovskaya oblast</t>
  </si>
  <si>
    <t>Sannikov Vladislav</t>
  </si>
  <si>
    <t>Masters 80up</t>
  </si>
  <si>
    <t>117,2229</t>
  </si>
  <si>
    <t>OPEN EUROPE CUP WPA/AWPA
AWPA raw benchpress
Moscow/Russian Federation 2 - 3 april 2022 г.</t>
  </si>
  <si>
    <t>47,5</t>
  </si>
  <si>
    <t>Body Weight Category  56</t>
  </si>
  <si>
    <t>1. Drabkina Olga</t>
  </si>
  <si>
    <t>Open (13.11.1972)/49</t>
  </si>
  <si>
    <t>55,60</t>
  </si>
  <si>
    <t>1. Balabatko Oksana</t>
  </si>
  <si>
    <t>Teen 16-17 (24.01.2005)/17</t>
  </si>
  <si>
    <t>58,10</t>
  </si>
  <si>
    <t>Pushkin/Sankt-Peterburg</t>
  </si>
  <si>
    <t>Masters 40-44 (21.03.1982)/40</t>
  </si>
  <si>
    <t>1. Lymareva Elena</t>
  </si>
  <si>
    <t>Open (20.04.1966)/55</t>
  </si>
  <si>
    <t>73,90</t>
  </si>
  <si>
    <t>Vishnyakov Mikhail</t>
  </si>
  <si>
    <t>2. Loskutova Galina</t>
  </si>
  <si>
    <t>Open (17.05.1987)/34</t>
  </si>
  <si>
    <t>70,20</t>
  </si>
  <si>
    <t>Masters 55-59 (20.04.1966)/55</t>
  </si>
  <si>
    <t>1. Orekhov Ivan</t>
  </si>
  <si>
    <t>Teen 16-17 (07.01.2005)/17</t>
  </si>
  <si>
    <t>51,70</t>
  </si>
  <si>
    <t>Tula/Tulskaya oblast</t>
  </si>
  <si>
    <t>-. Markov Vladimir</t>
  </si>
  <si>
    <t>Open (29.05.1983)/38</t>
  </si>
  <si>
    <t>55,20</t>
  </si>
  <si>
    <t>Zvenigorod/Moskovskaya oblast</t>
  </si>
  <si>
    <t>97,5</t>
  </si>
  <si>
    <t>1. Tairov Nail</t>
  </si>
  <si>
    <t>Open (05.06.1985)/36</t>
  </si>
  <si>
    <t>66,00</t>
  </si>
  <si>
    <t>2. Balakhonov Pavel</t>
  </si>
  <si>
    <t>Open (22.04.1988)/33</t>
  </si>
  <si>
    <t>64,30</t>
  </si>
  <si>
    <t>1. Kalashnitsyn Anton</t>
  </si>
  <si>
    <t>Masters 40-44 (13.09.1980)/41</t>
  </si>
  <si>
    <t>66,40</t>
  </si>
  <si>
    <t>1. Pavlov Nikolay</t>
  </si>
  <si>
    <t>Teen 13-15 (10.09.2006)/15</t>
  </si>
  <si>
    <t>71,30</t>
  </si>
  <si>
    <t>Vidnoye/Moskovskaya oblast</t>
  </si>
  <si>
    <t>Alyapkin Sergey</t>
  </si>
  <si>
    <t>1. Bazlov Vladimir</t>
  </si>
  <si>
    <t>Teen 16-17 (30.11.2004)/17</t>
  </si>
  <si>
    <t>71,70</t>
  </si>
  <si>
    <t>1. Samara Stanislav</t>
  </si>
  <si>
    <t>Open (14.03.1989)/33</t>
  </si>
  <si>
    <t>68,90</t>
  </si>
  <si>
    <t>2. Khlyustov Victor</t>
  </si>
  <si>
    <t>Open (20.03.1983)/39</t>
  </si>
  <si>
    <t>73,50</t>
  </si>
  <si>
    <t>Lobnya/Moskovskaya oblast</t>
  </si>
  <si>
    <t>3. Moiseev Sergey</t>
  </si>
  <si>
    <t>Open (14.05.1963)/58</t>
  </si>
  <si>
    <t>4. Gorlanov Aleksey</t>
  </si>
  <si>
    <t>Masters 55-59 (14.05.1963)/58</t>
  </si>
  <si>
    <t>Teen 18-19 (06.05.2003)/18</t>
  </si>
  <si>
    <t>157,5</t>
  </si>
  <si>
    <t>145,0</t>
  </si>
  <si>
    <t>1. Kretov Sergey</t>
  </si>
  <si>
    <t>Masters 45-49 (23.05.1973)/48</t>
  </si>
  <si>
    <t>81,30</t>
  </si>
  <si>
    <t>122,5</t>
  </si>
  <si>
    <t>1. Polikarpov Aleksandr</t>
  </si>
  <si>
    <t>Teen 18-19 (29.05.2002)/19</t>
  </si>
  <si>
    <t>86,80</t>
  </si>
  <si>
    <t>92,5</t>
  </si>
  <si>
    <t>1. Zezin Petr</t>
  </si>
  <si>
    <t>Open (01.11.1989)/32</t>
  </si>
  <si>
    <t>87,20</t>
  </si>
  <si>
    <t>152,5</t>
  </si>
  <si>
    <t>-. Istratov Roman</t>
  </si>
  <si>
    <t>Open (14.03.1997)/25</t>
  </si>
  <si>
    <t>86,70</t>
  </si>
  <si>
    <t>1. Kosyakov Valeriy</t>
  </si>
  <si>
    <t>Masters 50-54 (07.03.1968)/54</t>
  </si>
  <si>
    <t>142,5</t>
  </si>
  <si>
    <t>1. Salosalov Sergey</t>
  </si>
  <si>
    <t>Teen 16-17 (11.09.2004)/17</t>
  </si>
  <si>
    <t>99,50</t>
  </si>
  <si>
    <t>Shchelkovo/Moskovskaya oblast</t>
  </si>
  <si>
    <t>187,5</t>
  </si>
  <si>
    <t>1. Manaenkov Aleksandr</t>
  </si>
  <si>
    <t>Open (19.04.1992)/29</t>
  </si>
  <si>
    <t>98,00</t>
  </si>
  <si>
    <t>Lyubertsy/Moskovskaya oblast</t>
  </si>
  <si>
    <t>2. Salosalov Sergey</t>
  </si>
  <si>
    <t>Open (11.09.2004)/17</t>
  </si>
  <si>
    <t>3. Seregin Aleksandr</t>
  </si>
  <si>
    <t>Open (15.12.1982)/39</t>
  </si>
  <si>
    <t>99,40</t>
  </si>
  <si>
    <t>147,5</t>
  </si>
  <si>
    <t>1. Medvedev Vladimir</t>
  </si>
  <si>
    <t>Masters 45-49 (15.02.1975)/47</t>
  </si>
  <si>
    <t>97,10</t>
  </si>
  <si>
    <t>Nakhabino/Moskovskaya oblast</t>
  </si>
  <si>
    <t>1. Zinkevich Pavel</t>
  </si>
  <si>
    <t>Masters 55-59 (26.03.1964)/58</t>
  </si>
  <si>
    <t>98,50</t>
  </si>
  <si>
    <t>Kazan/Tatarstan</t>
  </si>
  <si>
    <t>-. Korobochkin Evgeniy</t>
  </si>
  <si>
    <t>Open (17.07.1984)/37</t>
  </si>
  <si>
    <t>108,10</t>
  </si>
  <si>
    <t>Domodedovo/Moskovskaya oblast</t>
  </si>
  <si>
    <t>162,5</t>
  </si>
  <si>
    <t>1. Bichkov Igor</t>
  </si>
  <si>
    <t>Masters 50-54 (18.06.1970)/51</t>
  </si>
  <si>
    <t>103,70</t>
  </si>
  <si>
    <t>Dinamo-32</t>
  </si>
  <si>
    <t>1. Orekhov Valentin</t>
  </si>
  <si>
    <t>Masters 45-49 (10.01.1977)/45</t>
  </si>
  <si>
    <t>111,50</t>
  </si>
  <si>
    <t>1. Kolesnikov Sergey</t>
  </si>
  <si>
    <t>Masters 60-64 (20.08.1961)/60</t>
  </si>
  <si>
    <t>114,00</t>
  </si>
  <si>
    <t>Balabatko Oksana</t>
  </si>
  <si>
    <t>44,1900</t>
  </si>
  <si>
    <t>86,4515</t>
  </si>
  <si>
    <t>Lymareva Elena</t>
  </si>
  <si>
    <t>72,9300</t>
  </si>
  <si>
    <t>Drabkina Olga</t>
  </si>
  <si>
    <t>56</t>
  </si>
  <si>
    <t>57,2938</t>
  </si>
  <si>
    <t>51,9400</t>
  </si>
  <si>
    <t>Loskutova Galina</t>
  </si>
  <si>
    <t>45,3900</t>
  </si>
  <si>
    <t>100,6434</t>
  </si>
  <si>
    <t>Salosalov Sergey</t>
  </si>
  <si>
    <t>102,7305</t>
  </si>
  <si>
    <t>Teen 18-19</t>
  </si>
  <si>
    <t>100,1385</t>
  </si>
  <si>
    <t>Bazlov Vladimir</t>
  </si>
  <si>
    <t>72,3450</t>
  </si>
  <si>
    <t>Orekhov Ivan</t>
  </si>
  <si>
    <t>67,0600</t>
  </si>
  <si>
    <t>Polikarpov Aleksandr</t>
  </si>
  <si>
    <t>59,8600</t>
  </si>
  <si>
    <t>Pavlov Nikolay</t>
  </si>
  <si>
    <t>57,1148</t>
  </si>
  <si>
    <t>Manaenkov Aleksandr</t>
  </si>
  <si>
    <t>103,4335</t>
  </si>
  <si>
    <t>97,5725</t>
  </si>
  <si>
    <t>Zezin Petr</t>
  </si>
  <si>
    <t>92,5195</t>
  </si>
  <si>
    <t>91,1575</t>
  </si>
  <si>
    <t>Samara Stanislav</t>
  </si>
  <si>
    <t>89,1000</t>
  </si>
  <si>
    <t>Tairov Nail</t>
  </si>
  <si>
    <t>88,8960</t>
  </si>
  <si>
    <t>Seregin Aleksandr</t>
  </si>
  <si>
    <t>81,9362</t>
  </si>
  <si>
    <t>Khlyustov Victor</t>
  </si>
  <si>
    <t>77,6480</t>
  </si>
  <si>
    <t>75,3610</t>
  </si>
  <si>
    <t>67,0800</t>
  </si>
  <si>
    <t>Balakhonov Pavel</t>
  </si>
  <si>
    <t>56,9325</t>
  </si>
  <si>
    <t>Kolesnikov Sergey</t>
  </si>
  <si>
    <t>126,9669</t>
  </si>
  <si>
    <t>Zinkevich Pavel</t>
  </si>
  <si>
    <t>122,0118</t>
  </si>
  <si>
    <t>115,6791</t>
  </si>
  <si>
    <t>Kosyakov Valeriy</t>
  </si>
  <si>
    <t>Masters 50-54</t>
  </si>
  <si>
    <t>110,7331</t>
  </si>
  <si>
    <t>110,1185</t>
  </si>
  <si>
    <t>Bichkov Igor</t>
  </si>
  <si>
    <t>105,2007</t>
  </si>
  <si>
    <t>95,7894</t>
  </si>
  <si>
    <t>Orekhov Valentin</t>
  </si>
  <si>
    <t>89,6753</t>
  </si>
  <si>
    <t>Medvedev Vladimir</t>
  </si>
  <si>
    <t>88,9237</t>
  </si>
  <si>
    <t>Kretov Sergey</t>
  </si>
  <si>
    <t>85,6161</t>
  </si>
  <si>
    <t>Kalashnitsyn Anton</t>
  </si>
  <si>
    <t>70,1965</t>
  </si>
  <si>
    <t>OPEN EUROPE CUP WPA/AWPA
AWPA standart ply deadlift
Moscow/Russian Federation 2 - 3 april 2022 г.</t>
  </si>
  <si>
    <t>152,3025</t>
  </si>
  <si>
    <t>OPEN EUROPE CUP WPA/AWPA
AWPA raw deadlift
Moscow/Russian Federation 2 - 3 april 2022 г.</t>
  </si>
  <si>
    <t>1. Golovenkina Yulia</t>
  </si>
  <si>
    <t>Juniors 20-23 (21.02.2001)/21</t>
  </si>
  <si>
    <t>50,00</t>
  </si>
  <si>
    <t>1. Kostomarova Tatyana</t>
  </si>
  <si>
    <t>Masters 40-44 (09.09.1981)/40</t>
  </si>
  <si>
    <t>62,90</t>
  </si>
  <si>
    <t>1. Khlyustov Victor</t>
  </si>
  <si>
    <t>177,5</t>
  </si>
  <si>
    <t>1. Knol Aleksey</t>
  </si>
  <si>
    <t>Open (06.11.1990)/31</t>
  </si>
  <si>
    <t>Solnechnogorsk/Moskovskaya oblast</t>
  </si>
  <si>
    <t>-. Kulago Aleksandr</t>
  </si>
  <si>
    <t>Juniors 20-23 (31.03.2002)/20</t>
  </si>
  <si>
    <t>96,40</t>
  </si>
  <si>
    <t>232,5</t>
  </si>
  <si>
    <t>Pankratov D.S.</t>
  </si>
  <si>
    <t>1. Shveykin Danila</t>
  </si>
  <si>
    <t>Open (07.10.1993)/28</t>
  </si>
  <si>
    <t>96,70</t>
  </si>
  <si>
    <t>205,0</t>
  </si>
  <si>
    <t>215,0</t>
  </si>
  <si>
    <t>1. Umerenkov Igor</t>
  </si>
  <si>
    <t>Open (13.09.1980)/41</t>
  </si>
  <si>
    <t>111,00</t>
  </si>
  <si>
    <t>265,0</t>
  </si>
  <si>
    <t>270,0</t>
  </si>
  <si>
    <t>202,5</t>
  </si>
  <si>
    <t>Golovenkina Yulia</t>
  </si>
  <si>
    <t>55,0000</t>
  </si>
  <si>
    <t>115,0630</t>
  </si>
  <si>
    <t>Kostomarova Tatyana</t>
  </si>
  <si>
    <t>121,9678</t>
  </si>
  <si>
    <t>Umerenkov Igor</t>
  </si>
  <si>
    <t>144,5310</t>
  </si>
  <si>
    <t>130,2250</t>
  </si>
  <si>
    <t>Knol Aleksey</t>
  </si>
  <si>
    <t>128,4800</t>
  </si>
  <si>
    <t>119,8480</t>
  </si>
  <si>
    <t>Shveykin Danila</t>
  </si>
  <si>
    <t>118,1670</t>
  </si>
  <si>
    <t>210,3133</t>
  </si>
  <si>
    <t>174,7803</t>
  </si>
  <si>
    <t>144,9646</t>
  </si>
  <si>
    <t>OPEN EUROPE CUP WPA/AWPA
WPA multi ply powerlifting
Moscow/Russian Federation 2 - 3 april 2022 г.</t>
  </si>
  <si>
    <t>1. Shaeva Ekaterina</t>
  </si>
  <si>
    <t>Open (17.01.1985)/37</t>
  </si>
  <si>
    <t>54,80</t>
  </si>
  <si>
    <t>42,5</t>
  </si>
  <si>
    <t>Yermolayev K.S.</t>
  </si>
  <si>
    <t>Shaeva Ekaterina</t>
  </si>
  <si>
    <t>215,6902</t>
  </si>
  <si>
    <t>OPEN EUROPE CUP WPA/AWPA
WPA raw powerlifting
Moscow/Russian Federation 2 - 3 april 2022 г.</t>
  </si>
  <si>
    <t>1. Gracheva Olga</t>
  </si>
  <si>
    <t>Open (19.09.1978)/43</t>
  </si>
  <si>
    <t>77,70</t>
  </si>
  <si>
    <t>172,5</t>
  </si>
  <si>
    <t>1. Dmitriev Dmitriy</t>
  </si>
  <si>
    <t>Open (27.11.1995)/26</t>
  </si>
  <si>
    <t>89,80</t>
  </si>
  <si>
    <t>1. Minin Vladimir</t>
  </si>
  <si>
    <t>Masters 50-54 (29.08.1967)/54</t>
  </si>
  <si>
    <t>107,30</t>
  </si>
  <si>
    <t>280,0</t>
  </si>
  <si>
    <t>290,0</t>
  </si>
  <si>
    <t>1. Smirnov Dmitriy</t>
  </si>
  <si>
    <t>Open (18.11.1978)/43</t>
  </si>
  <si>
    <t>129,70</t>
  </si>
  <si>
    <t>Mytishchi/Moskovskaya oblast</t>
  </si>
  <si>
    <t>2. Vorobyev Vladimir</t>
  </si>
  <si>
    <t>Open (20.08.1985)/36</t>
  </si>
  <si>
    <t>134,70</t>
  </si>
  <si>
    <t>1. Vorobyev Vladimir</t>
  </si>
  <si>
    <t>Sub Masters 33-39 (20.08.1985)/36</t>
  </si>
  <si>
    <t>Gracheva Olga</t>
  </si>
  <si>
    <t>470,0</t>
  </si>
  <si>
    <t>330,5980</t>
  </si>
  <si>
    <t>Smirnov Dmitriy</t>
  </si>
  <si>
    <t>722,5</t>
  </si>
  <si>
    <t>372,3765</t>
  </si>
  <si>
    <t>Vorobyev Vladimir</t>
  </si>
  <si>
    <t>620,0</t>
  </si>
  <si>
    <t>315,8280</t>
  </si>
  <si>
    <t>Dmitriev Dmitriy</t>
  </si>
  <si>
    <t>457,5</t>
  </si>
  <si>
    <t>268,1407</t>
  </si>
  <si>
    <t>Sub</t>
  </si>
  <si>
    <t>Sub Masters 33-39</t>
  </si>
  <si>
    <t>690,0</t>
  </si>
  <si>
    <t>495,6498</t>
  </si>
  <si>
    <t>OPEN EUROPE CUP WPA/AWPA
WPA raw benchpress
Moscow/Russian Federation 2 - 3 april 2022 г.</t>
  </si>
  <si>
    <t>1. Semenova Marina</t>
  </si>
  <si>
    <t>Masters 45-49 (24.08.1975)/46</t>
  </si>
  <si>
    <t>Sergiyev Posad/Moskovskaya oblast</t>
  </si>
  <si>
    <t>Artemenko Yelena</t>
  </si>
  <si>
    <t>1. Finkelbaum Mark</t>
  </si>
  <si>
    <t>Teen 13-15 (25.04.2008)/13</t>
  </si>
  <si>
    <t>71,20</t>
  </si>
  <si>
    <t>Yesayan Yevgeniy</t>
  </si>
  <si>
    <t>1. Arkhipov Artem</t>
  </si>
  <si>
    <t>Masters 40-44 (24.03.1982)/40</t>
  </si>
  <si>
    <t>127,5</t>
  </si>
  <si>
    <t>1. Kerimaliev Azamat</t>
  </si>
  <si>
    <t>Masters 50-54 (12.09.1969)/52</t>
  </si>
  <si>
    <t>83,70</t>
  </si>
  <si>
    <t>Kirgiztan</t>
  </si>
  <si>
    <t>1. Artyakov Mikhail</t>
  </si>
  <si>
    <t>Open (30.03.1989)/33</t>
  </si>
  <si>
    <t>94,60</t>
  </si>
  <si>
    <t>Podolsk/Moskovskaya oblast</t>
  </si>
  <si>
    <t>2. Svorovskiy Georgiy</t>
  </si>
  <si>
    <t>Open (30.05.1997)/24</t>
  </si>
  <si>
    <t>98,40</t>
  </si>
  <si>
    <t>-. Kolesnikov Vladislav</t>
  </si>
  <si>
    <t>Sub Masters 33-39 (19.06.1984)/37</t>
  </si>
  <si>
    <t>1. Afonin Aleksey</t>
  </si>
  <si>
    <t>Masters 40-44 (18.02.1982)/40</t>
  </si>
  <si>
    <t>1. Demidov Dmitriy</t>
  </si>
  <si>
    <t>Juniors 20-23 (04.10.1998)/23</t>
  </si>
  <si>
    <t>122,20</t>
  </si>
  <si>
    <t>192,5</t>
  </si>
  <si>
    <t>1. Shishov Aleksey</t>
  </si>
  <si>
    <t>Masters 45-49 (21.03.1973)/49</t>
  </si>
  <si>
    <t>119,10</t>
  </si>
  <si>
    <t>Semenova Marina</t>
  </si>
  <si>
    <t>58,4716</t>
  </si>
  <si>
    <t>Finkelbaum Mark</t>
  </si>
  <si>
    <t>36,3877</t>
  </si>
  <si>
    <t>Demidov Dmitriy</t>
  </si>
  <si>
    <t>101,0047</t>
  </si>
  <si>
    <t>Artyakov Mikhail</t>
  </si>
  <si>
    <t>108,1290</t>
  </si>
  <si>
    <t>Svorovskiy Georgiy</t>
  </si>
  <si>
    <t>94,8770</t>
  </si>
  <si>
    <t>Shishov Aleksey</t>
  </si>
  <si>
    <t>107,1751</t>
  </si>
  <si>
    <t>Afonin Aleksey</t>
  </si>
  <si>
    <t>102,3910</t>
  </si>
  <si>
    <t>Arkhipov Artem</t>
  </si>
  <si>
    <t>82,4543</t>
  </si>
  <si>
    <t>Kerimaliev Azamat</t>
  </si>
  <si>
    <t>68,3779</t>
  </si>
  <si>
    <t>OPEN EUROPE CUP WPA/AWPA
WPA multi ply deadlift
Moscow/Russian Federation 2 - 3 april 2022 г.</t>
  </si>
  <si>
    <t>1. Poryadin Valeriy</t>
  </si>
  <si>
    <t>Open (20.05.1966)/55</t>
  </si>
  <si>
    <t>Belgorod/Belgorodskaya oblast</t>
  </si>
  <si>
    <t>206,0</t>
  </si>
  <si>
    <t>Masters 55-59 (20.05.1966)/55</t>
  </si>
  <si>
    <t>Poryadin Valeriy</t>
  </si>
  <si>
    <t>115,5380</t>
  </si>
  <si>
    <t>159,4424</t>
  </si>
  <si>
    <t>OPEN EUROPE CUP WPA/AWPA
WPA standart ply deadlift
Moscow/Russian Federation 2 - 3 april 2022 г.</t>
  </si>
  <si>
    <t>112,7200</t>
  </si>
  <si>
    <t>155,5536</t>
  </si>
  <si>
    <t>OPEN EUROPE CUP WPA/AWPA
WPA raw deadlift
Moscow/Russian Federation 2 - 3 april 2022 г.</t>
  </si>
  <si>
    <t>1. Parshenko Sergey</t>
  </si>
  <si>
    <t>Open (18.10.1990)/31</t>
  </si>
  <si>
    <t>88,30</t>
  </si>
  <si>
    <t>245,0</t>
  </si>
  <si>
    <t>Body Weight Category  155</t>
  </si>
  <si>
    <t>1. Samoylik Aleksandr</t>
  </si>
  <si>
    <t>Masters 45-49 (20.06.1975)/46</t>
  </si>
  <si>
    <t>141,60</t>
  </si>
  <si>
    <t>Novokuznetsk/Kemerovskaya oblast</t>
  </si>
  <si>
    <t>235,0</t>
  </si>
  <si>
    <t>Parshenko Sergey</t>
  </si>
  <si>
    <t>156,9330</t>
  </si>
  <si>
    <t>Samoylik Aleksandr</t>
  </si>
  <si>
    <t>155</t>
  </si>
  <si>
    <t>131,3716</t>
  </si>
</sst>
</file>

<file path=xl/styles.xml><?xml version="1.0" encoding="utf-8"?>
<styleSheet xmlns="http://schemas.openxmlformats.org/spreadsheetml/2006/main">
  <numFmts count="4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</numFmts>
  <fonts count="2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trike/>
      <sz val="10"/>
      <name val="Arial Cyr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9" fillId="8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14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1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9" borderId="20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30.3333333333333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13</v>
      </c>
      <c r="B6" s="20" t="s">
        <v>14</v>
      </c>
      <c r="C6" s="20" t="s">
        <v>15</v>
      </c>
      <c r="D6" s="20" t="str">
        <f>"0,7117"</f>
        <v>0,7117</v>
      </c>
      <c r="E6" s="19" t="s">
        <v>16</v>
      </c>
      <c r="F6" s="19" t="s">
        <v>17</v>
      </c>
      <c r="G6" s="39" t="s">
        <v>18</v>
      </c>
      <c r="H6" s="39" t="s">
        <v>19</v>
      </c>
      <c r="I6" s="39" t="s">
        <v>20</v>
      </c>
      <c r="J6" s="39"/>
      <c r="K6" s="40" t="str">
        <f>"0.00"</f>
        <v>0.00</v>
      </c>
      <c r="L6" s="41" t="str">
        <f>"0,0000"</f>
        <v>0,0000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21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22</v>
      </c>
      <c r="B9" s="20" t="s">
        <v>23</v>
      </c>
      <c r="C9" s="20" t="s">
        <v>24</v>
      </c>
      <c r="D9" s="20" t="str">
        <f>"0,6561"</f>
        <v>0,6561</v>
      </c>
      <c r="E9" s="19" t="s">
        <v>16</v>
      </c>
      <c r="F9" s="19" t="s">
        <v>25</v>
      </c>
      <c r="G9" s="20" t="s">
        <v>26</v>
      </c>
      <c r="H9" s="39" t="s">
        <v>27</v>
      </c>
      <c r="I9" s="20" t="s">
        <v>28</v>
      </c>
      <c r="J9" s="39"/>
      <c r="K9" s="40" t="str">
        <f>"185,0"</f>
        <v>185,0</v>
      </c>
      <c r="L9" s="41" t="str">
        <f>"121,3877"</f>
        <v>121,3877</v>
      </c>
      <c r="M9" s="19"/>
    </row>
    <row r="11" ht="15.75" spans="1:10">
      <c r="A11" s="21" t="s">
        <v>29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30</v>
      </c>
      <c r="B12" s="20" t="s">
        <v>31</v>
      </c>
      <c r="C12" s="20" t="s">
        <v>32</v>
      </c>
      <c r="D12" s="20" t="str">
        <f>"0,5709"</f>
        <v>0,5709</v>
      </c>
      <c r="E12" s="19" t="s">
        <v>16</v>
      </c>
      <c r="F12" s="19" t="s">
        <v>33</v>
      </c>
      <c r="G12" s="20" t="s">
        <v>34</v>
      </c>
      <c r="H12" s="20" t="s">
        <v>35</v>
      </c>
      <c r="I12" s="39" t="s">
        <v>36</v>
      </c>
      <c r="J12" s="39"/>
      <c r="K12" s="40" t="str">
        <f>"230,0"</f>
        <v>230,0</v>
      </c>
      <c r="L12" s="41" t="str">
        <f>"131,2955"</f>
        <v>131,2955</v>
      </c>
      <c r="M12" s="19"/>
    </row>
    <row r="14" ht="15.75" spans="5:5">
      <c r="E14" s="27" t="s">
        <v>37</v>
      </c>
    </row>
    <row r="15" ht="15.75" spans="5:5">
      <c r="E15" s="27" t="s">
        <v>38</v>
      </c>
    </row>
    <row r="16" ht="15.75" spans="5:5">
      <c r="E16" s="27" t="s">
        <v>39</v>
      </c>
    </row>
    <row r="17" spans="5:5">
      <c r="E17" s="4" t="s">
        <v>40</v>
      </c>
    </row>
    <row r="18" spans="5:5">
      <c r="E18" s="4" t="s">
        <v>41</v>
      </c>
    </row>
    <row r="19" spans="5:5">
      <c r="E19" s="4" t="s">
        <v>42</v>
      </c>
    </row>
    <row r="22" ht="18.75" spans="1:2">
      <c r="A22" s="28" t="s">
        <v>43</v>
      </c>
      <c r="B22" s="29"/>
    </row>
    <row r="23" ht="15.75" spans="1:2">
      <c r="A23" s="30" t="s">
        <v>44</v>
      </c>
      <c r="B23" s="21"/>
    </row>
    <row r="24" ht="15" spans="1:2">
      <c r="A24" s="31"/>
      <c r="B24" s="32" t="s">
        <v>45</v>
      </c>
    </row>
    <row r="25" ht="14.25" spans="1:5">
      <c r="A25" s="33" t="s">
        <v>1</v>
      </c>
      <c r="B25" s="33" t="s">
        <v>46</v>
      </c>
      <c r="C25" s="33" t="s">
        <v>47</v>
      </c>
      <c r="D25" s="33" t="s">
        <v>48</v>
      </c>
      <c r="E25" s="33" t="s">
        <v>4</v>
      </c>
    </row>
    <row r="26" spans="1:5">
      <c r="A26" s="34" t="s">
        <v>49</v>
      </c>
      <c r="B26" s="3" t="s">
        <v>45</v>
      </c>
      <c r="C26" s="3" t="s">
        <v>50</v>
      </c>
      <c r="D26" s="3" t="s">
        <v>35</v>
      </c>
      <c r="E26" s="5" t="s">
        <v>51</v>
      </c>
    </row>
    <row r="27" spans="1:5">
      <c r="A27" s="34" t="s">
        <v>52</v>
      </c>
      <c r="B27" s="3" t="s">
        <v>45</v>
      </c>
      <c r="C27" s="3" t="s">
        <v>53</v>
      </c>
      <c r="D27" s="3" t="s">
        <v>28</v>
      </c>
      <c r="E27" s="5" t="s">
        <v>54</v>
      </c>
    </row>
  </sheetData>
  <mergeCells count="14">
    <mergeCell ref="G3:J3"/>
    <mergeCell ref="A5:J5"/>
    <mergeCell ref="A8:J8"/>
    <mergeCell ref="A11:J1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23.6666666666667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207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271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3" t="s">
        <v>272</v>
      </c>
      <c r="B6" s="24" t="s">
        <v>273</v>
      </c>
      <c r="C6" s="24" t="s">
        <v>274</v>
      </c>
      <c r="D6" s="24" t="str">
        <f>"1,0669"</f>
        <v>1,0669</v>
      </c>
      <c r="E6" s="23" t="s">
        <v>16</v>
      </c>
      <c r="F6" s="23" t="s">
        <v>17</v>
      </c>
      <c r="G6" s="24" t="s">
        <v>275</v>
      </c>
      <c r="H6" s="24" t="s">
        <v>276</v>
      </c>
      <c r="I6" s="24" t="s">
        <v>217</v>
      </c>
      <c r="J6" s="42" t="s">
        <v>211</v>
      </c>
      <c r="K6" s="43" t="str">
        <f>"50,0"</f>
        <v>50,0</v>
      </c>
      <c r="L6" s="44" t="str">
        <f>"53,3450"</f>
        <v>53,3450</v>
      </c>
      <c r="M6" s="23"/>
    </row>
    <row r="7" s="3" customFormat="1" spans="1:13">
      <c r="A7" s="25" t="s">
        <v>277</v>
      </c>
      <c r="B7" s="26" t="s">
        <v>278</v>
      </c>
      <c r="C7" s="26" t="s">
        <v>279</v>
      </c>
      <c r="D7" s="26" t="str">
        <f>"1,1059"</f>
        <v>1,1059</v>
      </c>
      <c r="E7" s="25" t="s">
        <v>280</v>
      </c>
      <c r="F7" s="25" t="s">
        <v>216</v>
      </c>
      <c r="G7" s="26" t="s">
        <v>109</v>
      </c>
      <c r="H7" s="45"/>
      <c r="I7" s="45"/>
      <c r="J7" s="45"/>
      <c r="K7" s="46" t="str">
        <f>"80,0"</f>
        <v>80,0</v>
      </c>
      <c r="L7" s="47" t="str">
        <f>"88,4720"</f>
        <v>88,4720</v>
      </c>
      <c r="M7" s="25"/>
    </row>
    <row r="9" ht="15.75" spans="1:10">
      <c r="A9" s="21" t="s">
        <v>208</v>
      </c>
      <c r="B9" s="22"/>
      <c r="C9" s="22"/>
      <c r="D9" s="22"/>
      <c r="E9" s="22"/>
      <c r="F9" s="22"/>
      <c r="G9" s="22"/>
      <c r="H9" s="22"/>
      <c r="I9" s="22"/>
      <c r="J9" s="22"/>
    </row>
    <row r="10" spans="1:13">
      <c r="A10" s="19" t="s">
        <v>183</v>
      </c>
      <c r="B10" s="20" t="s">
        <v>209</v>
      </c>
      <c r="C10" s="20" t="s">
        <v>185</v>
      </c>
      <c r="D10" s="20" t="str">
        <f>"0,7304"</f>
        <v>0,7304</v>
      </c>
      <c r="E10" s="19" t="s">
        <v>16</v>
      </c>
      <c r="F10" s="19" t="s">
        <v>102</v>
      </c>
      <c r="G10" s="20" t="s">
        <v>281</v>
      </c>
      <c r="H10" s="20" t="s">
        <v>282</v>
      </c>
      <c r="I10" s="39" t="s">
        <v>283</v>
      </c>
      <c r="J10" s="39"/>
      <c r="K10" s="40" t="str">
        <f>"120,0"</f>
        <v>120,0</v>
      </c>
      <c r="L10" s="41" t="str">
        <f>"90,3713"</f>
        <v>90,3713</v>
      </c>
      <c r="M10" s="19"/>
    </row>
    <row r="12" ht="15.75" spans="1:10">
      <c r="A12" s="21" t="s">
        <v>212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23" t="s">
        <v>284</v>
      </c>
      <c r="B13" s="24" t="s">
        <v>285</v>
      </c>
      <c r="C13" s="24" t="s">
        <v>286</v>
      </c>
      <c r="D13" s="24" t="str">
        <f>"0,6780"</f>
        <v>0,6780</v>
      </c>
      <c r="E13" s="23" t="s">
        <v>16</v>
      </c>
      <c r="F13" s="23" t="s">
        <v>287</v>
      </c>
      <c r="G13" s="24" t="s">
        <v>282</v>
      </c>
      <c r="H13" s="24" t="s">
        <v>288</v>
      </c>
      <c r="I13" s="42" t="s">
        <v>289</v>
      </c>
      <c r="J13" s="42"/>
      <c r="K13" s="43" t="str">
        <f>"132,5"</f>
        <v>132,5</v>
      </c>
      <c r="L13" s="44" t="str">
        <f>"89,8350"</f>
        <v>89,8350</v>
      </c>
      <c r="M13" s="23"/>
    </row>
    <row r="14" spans="1:13">
      <c r="A14" s="48" t="s">
        <v>290</v>
      </c>
      <c r="B14" s="49" t="s">
        <v>291</v>
      </c>
      <c r="C14" s="49" t="s">
        <v>292</v>
      </c>
      <c r="D14" s="49" t="str">
        <f>"0,6718"</f>
        <v>0,6718</v>
      </c>
      <c r="E14" s="48" t="s">
        <v>16</v>
      </c>
      <c r="F14" s="48" t="s">
        <v>287</v>
      </c>
      <c r="G14" s="49" t="s">
        <v>211</v>
      </c>
      <c r="H14" s="49" t="s">
        <v>181</v>
      </c>
      <c r="I14" s="49" t="s">
        <v>109</v>
      </c>
      <c r="J14" s="50" t="s">
        <v>126</v>
      </c>
      <c r="K14" s="51" t="str">
        <f>"80,0"</f>
        <v>80,0</v>
      </c>
      <c r="L14" s="52" t="str">
        <f>"53,7440"</f>
        <v>53,7440</v>
      </c>
      <c r="M14" s="48"/>
    </row>
    <row r="15" spans="1:13">
      <c r="A15" s="48" t="s">
        <v>293</v>
      </c>
      <c r="B15" s="49" t="s">
        <v>294</v>
      </c>
      <c r="C15" s="49" t="s">
        <v>295</v>
      </c>
      <c r="D15" s="49" t="str">
        <f>"0,6670"</f>
        <v>0,6670</v>
      </c>
      <c r="E15" s="48" t="s">
        <v>16</v>
      </c>
      <c r="F15" s="48" t="s">
        <v>17</v>
      </c>
      <c r="G15" s="49" t="s">
        <v>282</v>
      </c>
      <c r="H15" s="49" t="s">
        <v>283</v>
      </c>
      <c r="I15" s="50" t="s">
        <v>289</v>
      </c>
      <c r="J15" s="50"/>
      <c r="K15" s="51" t="str">
        <f>"130,0"</f>
        <v>130,0</v>
      </c>
      <c r="L15" s="52" t="str">
        <f>"86,7100"</f>
        <v>86,7100</v>
      </c>
      <c r="M15" s="48"/>
    </row>
    <row r="16" spans="1:13">
      <c r="A16" s="25" t="s">
        <v>99</v>
      </c>
      <c r="B16" s="26" t="s">
        <v>219</v>
      </c>
      <c r="C16" s="26" t="s">
        <v>101</v>
      </c>
      <c r="D16" s="26" t="str">
        <f>"0,6934"</f>
        <v>0,6934</v>
      </c>
      <c r="E16" s="25" t="s">
        <v>16</v>
      </c>
      <c r="F16" s="25" t="s">
        <v>102</v>
      </c>
      <c r="G16" s="26" t="s">
        <v>281</v>
      </c>
      <c r="H16" s="26" t="s">
        <v>282</v>
      </c>
      <c r="I16" s="26" t="s">
        <v>283</v>
      </c>
      <c r="J16" s="45"/>
      <c r="K16" s="46" t="str">
        <f>"130,0"</f>
        <v>130,0</v>
      </c>
      <c r="L16" s="47" t="str">
        <f>"130,6965"</f>
        <v>130,6965</v>
      </c>
      <c r="M16" s="25"/>
    </row>
    <row r="18" ht="15.75" spans="5:5">
      <c r="E18" s="27" t="s">
        <v>37</v>
      </c>
    </row>
    <row r="19" ht="15.75" spans="5:5">
      <c r="E19" s="27" t="s">
        <v>38</v>
      </c>
    </row>
    <row r="20" ht="15.75" spans="5:5">
      <c r="E20" s="27" t="s">
        <v>39</v>
      </c>
    </row>
    <row r="21" spans="5:5">
      <c r="E21" s="4" t="s">
        <v>40</v>
      </c>
    </row>
    <row r="22" spans="5:5">
      <c r="E22" s="4" t="s">
        <v>41</v>
      </c>
    </row>
    <row r="23" spans="5:5">
      <c r="E23" s="4" t="s">
        <v>42</v>
      </c>
    </row>
    <row r="26" ht="18.75" spans="1:2">
      <c r="A26" s="28" t="s">
        <v>43</v>
      </c>
      <c r="B26" s="29"/>
    </row>
    <row r="27" ht="15.75" spans="1:2">
      <c r="A27" s="30" t="s">
        <v>77</v>
      </c>
      <c r="B27" s="21"/>
    </row>
    <row r="28" ht="15" spans="1:2">
      <c r="A28" s="31"/>
      <c r="B28" s="32" t="s">
        <v>234</v>
      </c>
    </row>
    <row r="29" ht="14.25" spans="1:5">
      <c r="A29" s="33" t="s">
        <v>1</v>
      </c>
      <c r="B29" s="33" t="s">
        <v>46</v>
      </c>
      <c r="C29" s="33" t="s">
        <v>47</v>
      </c>
      <c r="D29" s="33" t="s">
        <v>48</v>
      </c>
      <c r="E29" s="33" t="s">
        <v>4</v>
      </c>
    </row>
    <row r="30" spans="1:5">
      <c r="A30" s="34" t="s">
        <v>296</v>
      </c>
      <c r="B30" s="3" t="s">
        <v>234</v>
      </c>
      <c r="C30" s="3" t="s">
        <v>297</v>
      </c>
      <c r="D30" s="3" t="s">
        <v>217</v>
      </c>
      <c r="E30" s="5" t="s">
        <v>298</v>
      </c>
    </row>
    <row r="32" ht="15" spans="1:2">
      <c r="A32" s="31"/>
      <c r="B32" s="32" t="s">
        <v>45</v>
      </c>
    </row>
    <row r="33" ht="14.25" spans="1:5">
      <c r="A33" s="33" t="s">
        <v>1</v>
      </c>
      <c r="B33" s="33" t="s">
        <v>46</v>
      </c>
      <c r="C33" s="33" t="s">
        <v>47</v>
      </c>
      <c r="D33" s="33" t="s">
        <v>48</v>
      </c>
      <c r="E33" s="33" t="s">
        <v>4</v>
      </c>
    </row>
    <row r="34" spans="1:5">
      <c r="A34" s="34" t="s">
        <v>299</v>
      </c>
      <c r="B34" s="3" t="s">
        <v>45</v>
      </c>
      <c r="C34" s="3" t="s">
        <v>297</v>
      </c>
      <c r="D34" s="3" t="s">
        <v>109</v>
      </c>
      <c r="E34" s="5" t="s">
        <v>300</v>
      </c>
    </row>
    <row r="37" ht="15.75" spans="1:2">
      <c r="A37" s="30" t="s">
        <v>44</v>
      </c>
      <c r="B37" s="21"/>
    </row>
    <row r="38" ht="15" spans="1:2">
      <c r="A38" s="31"/>
      <c r="B38" s="32" t="s">
        <v>234</v>
      </c>
    </row>
    <row r="39" ht="14.25" spans="1:5">
      <c r="A39" s="33" t="s">
        <v>1</v>
      </c>
      <c r="B39" s="33" t="s">
        <v>46</v>
      </c>
      <c r="C39" s="33" t="s">
        <v>47</v>
      </c>
      <c r="D39" s="33" t="s">
        <v>48</v>
      </c>
      <c r="E39" s="33" t="s">
        <v>4</v>
      </c>
    </row>
    <row r="40" spans="1:5">
      <c r="A40" s="34" t="s">
        <v>301</v>
      </c>
      <c r="B40" s="3" t="s">
        <v>234</v>
      </c>
      <c r="C40" s="3" t="s">
        <v>236</v>
      </c>
      <c r="D40" s="3" t="s">
        <v>288</v>
      </c>
      <c r="E40" s="5" t="s">
        <v>302</v>
      </c>
    </row>
    <row r="41" spans="1:5">
      <c r="A41" s="34" t="s">
        <v>303</v>
      </c>
      <c r="B41" s="3" t="s">
        <v>234</v>
      </c>
      <c r="C41" s="3" t="s">
        <v>236</v>
      </c>
      <c r="D41" s="3" t="s">
        <v>109</v>
      </c>
      <c r="E41" s="5" t="s">
        <v>304</v>
      </c>
    </row>
    <row r="43" ht="15" spans="1:2">
      <c r="A43" s="31"/>
      <c r="B43" s="32" t="s">
        <v>45</v>
      </c>
    </row>
    <row r="44" ht="14.25" spans="1:5">
      <c r="A44" s="33" t="s">
        <v>1</v>
      </c>
      <c r="B44" s="33" t="s">
        <v>46</v>
      </c>
      <c r="C44" s="33" t="s">
        <v>47</v>
      </c>
      <c r="D44" s="33" t="s">
        <v>48</v>
      </c>
      <c r="E44" s="33" t="s">
        <v>4</v>
      </c>
    </row>
    <row r="45" spans="1:5">
      <c r="A45" s="34" t="s">
        <v>305</v>
      </c>
      <c r="B45" s="3" t="s">
        <v>45</v>
      </c>
      <c r="C45" s="3" t="s">
        <v>236</v>
      </c>
      <c r="D45" s="3" t="s">
        <v>283</v>
      </c>
      <c r="E45" s="5" t="s">
        <v>306</v>
      </c>
    </row>
    <row r="47" ht="15" spans="1:2">
      <c r="A47" s="31"/>
      <c r="B47" s="32" t="s">
        <v>139</v>
      </c>
    </row>
    <row r="48" ht="14.25" spans="1:5">
      <c r="A48" s="33" t="s">
        <v>1</v>
      </c>
      <c r="B48" s="33" t="s">
        <v>46</v>
      </c>
      <c r="C48" s="33" t="s">
        <v>47</v>
      </c>
      <c r="D48" s="33" t="s">
        <v>48</v>
      </c>
      <c r="E48" s="33" t="s">
        <v>4</v>
      </c>
    </row>
    <row r="49" spans="1:5">
      <c r="A49" s="34" t="s">
        <v>167</v>
      </c>
      <c r="B49" s="3" t="s">
        <v>238</v>
      </c>
      <c r="C49" s="3" t="s">
        <v>236</v>
      </c>
      <c r="D49" s="3" t="s">
        <v>283</v>
      </c>
      <c r="E49" s="5" t="s">
        <v>307</v>
      </c>
    </row>
    <row r="50" spans="1:5">
      <c r="A50" s="34" t="s">
        <v>203</v>
      </c>
      <c r="B50" s="3" t="s">
        <v>246</v>
      </c>
      <c r="C50" s="3" t="s">
        <v>247</v>
      </c>
      <c r="D50" s="3" t="s">
        <v>282</v>
      </c>
      <c r="E50" s="5" t="s">
        <v>308</v>
      </c>
    </row>
  </sheetData>
  <mergeCells count="14">
    <mergeCell ref="G3:J3"/>
    <mergeCell ref="A5:J5"/>
    <mergeCell ref="A9:J9"/>
    <mergeCell ref="A12:J1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29.6666666666667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309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207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212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3" t="s">
        <v>284</v>
      </c>
      <c r="B6" s="24" t="s">
        <v>285</v>
      </c>
      <c r="C6" s="24" t="s">
        <v>286</v>
      </c>
      <c r="D6" s="24" t="str">
        <f>"0,6780"</f>
        <v>0,6780</v>
      </c>
      <c r="E6" s="23" t="s">
        <v>16</v>
      </c>
      <c r="F6" s="23" t="s">
        <v>287</v>
      </c>
      <c r="G6" s="24" t="s">
        <v>310</v>
      </c>
      <c r="H6" s="24" t="s">
        <v>311</v>
      </c>
      <c r="I6" s="42" t="s">
        <v>312</v>
      </c>
      <c r="J6" s="42"/>
      <c r="K6" s="43" t="str">
        <f>"58,0"</f>
        <v>58,0</v>
      </c>
      <c r="L6" s="44" t="str">
        <f>"39,3240"</f>
        <v>39,3240</v>
      </c>
      <c r="M6" s="23"/>
    </row>
    <row r="7" s="3" customFormat="1" spans="1:13">
      <c r="A7" s="25" t="s">
        <v>99</v>
      </c>
      <c r="B7" s="26" t="s">
        <v>219</v>
      </c>
      <c r="C7" s="26" t="s">
        <v>101</v>
      </c>
      <c r="D7" s="26" t="str">
        <f>"0,6934"</f>
        <v>0,6934</v>
      </c>
      <c r="E7" s="25" t="s">
        <v>16</v>
      </c>
      <c r="F7" s="25" t="s">
        <v>102</v>
      </c>
      <c r="G7" s="26" t="s">
        <v>310</v>
      </c>
      <c r="H7" s="26" t="s">
        <v>313</v>
      </c>
      <c r="I7" s="26" t="s">
        <v>314</v>
      </c>
      <c r="J7" s="45"/>
      <c r="K7" s="46" t="str">
        <f>"60,5"</f>
        <v>60,5</v>
      </c>
      <c r="L7" s="47" t="str">
        <f>"60,8241"</f>
        <v>60,8241</v>
      </c>
      <c r="M7" s="25"/>
    </row>
    <row r="9" ht="15.75" spans="1:10">
      <c r="A9" s="21" t="s">
        <v>29</v>
      </c>
      <c r="B9" s="22"/>
      <c r="C9" s="22"/>
      <c r="D9" s="22"/>
      <c r="E9" s="22"/>
      <c r="F9" s="22"/>
      <c r="G9" s="22"/>
      <c r="H9" s="22"/>
      <c r="I9" s="22"/>
      <c r="J9" s="22"/>
    </row>
    <row r="10" spans="1:13">
      <c r="A10" s="23" t="s">
        <v>224</v>
      </c>
      <c r="B10" s="24" t="s">
        <v>315</v>
      </c>
      <c r="C10" s="24" t="s">
        <v>226</v>
      </c>
      <c r="D10" s="24" t="str">
        <f>"0,5631"</f>
        <v>0,5631</v>
      </c>
      <c r="E10" s="23" t="s">
        <v>16</v>
      </c>
      <c r="F10" s="23" t="s">
        <v>227</v>
      </c>
      <c r="G10" s="24" t="s">
        <v>316</v>
      </c>
      <c r="H10" s="24" t="s">
        <v>317</v>
      </c>
      <c r="I10" s="24" t="s">
        <v>318</v>
      </c>
      <c r="J10" s="24" t="s">
        <v>319</v>
      </c>
      <c r="K10" s="43" t="str">
        <f>"80,5"</f>
        <v>80,5</v>
      </c>
      <c r="L10" s="44" t="str">
        <f>"45,3295"</f>
        <v>45,3295</v>
      </c>
      <c r="M10" s="23"/>
    </row>
    <row r="11" spans="1:13">
      <c r="A11" s="25" t="s">
        <v>224</v>
      </c>
      <c r="B11" s="26" t="s">
        <v>225</v>
      </c>
      <c r="C11" s="26" t="s">
        <v>226</v>
      </c>
      <c r="D11" s="26" t="str">
        <f>"0,5631"</f>
        <v>0,5631</v>
      </c>
      <c r="E11" s="25" t="s">
        <v>16</v>
      </c>
      <c r="F11" s="25" t="s">
        <v>227</v>
      </c>
      <c r="G11" s="26" t="s">
        <v>316</v>
      </c>
      <c r="H11" s="26" t="s">
        <v>317</v>
      </c>
      <c r="I11" s="26" t="s">
        <v>318</v>
      </c>
      <c r="J11" s="26" t="s">
        <v>319</v>
      </c>
      <c r="K11" s="46" t="str">
        <f>"80,5"</f>
        <v>80,5</v>
      </c>
      <c r="L11" s="47" t="str">
        <f>"58,5204"</f>
        <v>58,5204</v>
      </c>
      <c r="M11" s="25"/>
    </row>
    <row r="13" ht="15.75" spans="1:10">
      <c r="A13" s="21" t="s">
        <v>230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3">
      <c r="A14" s="19" t="s">
        <v>255</v>
      </c>
      <c r="B14" s="20" t="s">
        <v>232</v>
      </c>
      <c r="C14" s="20" t="s">
        <v>233</v>
      </c>
      <c r="D14" s="20" t="str">
        <f>"0,5512"</f>
        <v>0,5512</v>
      </c>
      <c r="E14" s="19" t="s">
        <v>16</v>
      </c>
      <c r="F14" s="19" t="s">
        <v>17</v>
      </c>
      <c r="G14" s="20" t="s">
        <v>313</v>
      </c>
      <c r="H14" s="20" t="s">
        <v>320</v>
      </c>
      <c r="I14" s="20" t="s">
        <v>316</v>
      </c>
      <c r="J14" s="39"/>
      <c r="K14" s="40" t="str">
        <f>"68,0"</f>
        <v>68,0</v>
      </c>
      <c r="L14" s="41" t="str">
        <f>"56,6296"</f>
        <v>56,6296</v>
      </c>
      <c r="M14" s="19"/>
    </row>
    <row r="16" ht="15.75" spans="5:5">
      <c r="E16" s="27" t="s">
        <v>37</v>
      </c>
    </row>
    <row r="17" ht="15.75" spans="5:5">
      <c r="E17" s="27" t="s">
        <v>38</v>
      </c>
    </row>
    <row r="18" ht="15.75" spans="5:5">
      <c r="E18" s="27" t="s">
        <v>39</v>
      </c>
    </row>
    <row r="19" spans="5:5">
      <c r="E19" s="4" t="s">
        <v>40</v>
      </c>
    </row>
    <row r="20" spans="5:5">
      <c r="E20" s="4" t="s">
        <v>41</v>
      </c>
    </row>
    <row r="21" spans="5:5">
      <c r="E21" s="4" t="s">
        <v>42</v>
      </c>
    </row>
    <row r="24" ht="18.75" spans="1:2">
      <c r="A24" s="28" t="s">
        <v>43</v>
      </c>
      <c r="B24" s="29"/>
    </row>
    <row r="25" ht="15.75" spans="1:2">
      <c r="A25" s="30" t="s">
        <v>44</v>
      </c>
      <c r="B25" s="21"/>
    </row>
    <row r="26" ht="15" spans="1:2">
      <c r="A26" s="31"/>
      <c r="B26" s="32" t="s">
        <v>234</v>
      </c>
    </row>
    <row r="27" ht="14.25" spans="1:5">
      <c r="A27" s="33" t="s">
        <v>1</v>
      </c>
      <c r="B27" s="33" t="s">
        <v>46</v>
      </c>
      <c r="C27" s="33" t="s">
        <v>47</v>
      </c>
      <c r="D27" s="33" t="s">
        <v>48</v>
      </c>
      <c r="E27" s="33" t="s">
        <v>4</v>
      </c>
    </row>
    <row r="28" spans="1:5">
      <c r="A28" s="34" t="s">
        <v>301</v>
      </c>
      <c r="B28" s="3" t="s">
        <v>234</v>
      </c>
      <c r="C28" s="3" t="s">
        <v>236</v>
      </c>
      <c r="D28" s="3" t="s">
        <v>311</v>
      </c>
      <c r="E28" s="5" t="s">
        <v>321</v>
      </c>
    </row>
    <row r="30" ht="15" spans="1:2">
      <c r="A30" s="31"/>
      <c r="B30" s="32" t="s">
        <v>45</v>
      </c>
    </row>
    <row r="31" ht="14.25" spans="1:5">
      <c r="A31" s="33" t="s">
        <v>1</v>
      </c>
      <c r="B31" s="33" t="s">
        <v>46</v>
      </c>
      <c r="C31" s="33" t="s">
        <v>47</v>
      </c>
      <c r="D31" s="33" t="s">
        <v>48</v>
      </c>
      <c r="E31" s="33" t="s">
        <v>4</v>
      </c>
    </row>
    <row r="32" spans="1:5">
      <c r="A32" s="34" t="s">
        <v>240</v>
      </c>
      <c r="B32" s="3" t="s">
        <v>45</v>
      </c>
      <c r="C32" s="3" t="s">
        <v>50</v>
      </c>
      <c r="D32" s="3" t="s">
        <v>322</v>
      </c>
      <c r="E32" s="5" t="s">
        <v>323</v>
      </c>
    </row>
    <row r="34" ht="15" spans="1:2">
      <c r="A34" s="31"/>
      <c r="B34" s="32" t="s">
        <v>139</v>
      </c>
    </row>
    <row r="35" ht="14.25" spans="1:5">
      <c r="A35" s="33" t="s">
        <v>1</v>
      </c>
      <c r="B35" s="33" t="s">
        <v>46</v>
      </c>
      <c r="C35" s="33" t="s">
        <v>47</v>
      </c>
      <c r="D35" s="33" t="s">
        <v>48</v>
      </c>
      <c r="E35" s="33" t="s">
        <v>4</v>
      </c>
    </row>
    <row r="36" spans="1:5">
      <c r="A36" s="34" t="s">
        <v>167</v>
      </c>
      <c r="B36" s="3" t="s">
        <v>238</v>
      </c>
      <c r="C36" s="3" t="s">
        <v>236</v>
      </c>
      <c r="D36" s="3" t="s">
        <v>314</v>
      </c>
      <c r="E36" s="5" t="s">
        <v>324</v>
      </c>
    </row>
    <row r="37" spans="1:5">
      <c r="A37" s="34" t="s">
        <v>240</v>
      </c>
      <c r="B37" s="3" t="s">
        <v>241</v>
      </c>
      <c r="C37" s="3" t="s">
        <v>50</v>
      </c>
      <c r="D37" s="3" t="s">
        <v>322</v>
      </c>
      <c r="E37" s="5" t="s">
        <v>325</v>
      </c>
    </row>
    <row r="38" spans="1:5">
      <c r="A38" s="34" t="s">
        <v>259</v>
      </c>
      <c r="B38" s="3" t="s">
        <v>260</v>
      </c>
      <c r="C38" s="3" t="s">
        <v>261</v>
      </c>
      <c r="D38" s="3" t="s">
        <v>316</v>
      </c>
      <c r="E38" s="5" t="s">
        <v>326</v>
      </c>
    </row>
  </sheetData>
  <mergeCells count="14">
    <mergeCell ref="G3:J3"/>
    <mergeCell ref="A5:J5"/>
    <mergeCell ref="A9:J9"/>
    <mergeCell ref="A13:J1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23.6666666666667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327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329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183</v>
      </c>
      <c r="B6" s="20" t="s">
        <v>209</v>
      </c>
      <c r="C6" s="20" t="s">
        <v>185</v>
      </c>
      <c r="D6" s="20" t="str">
        <f>"0,7074"</f>
        <v>0,7074</v>
      </c>
      <c r="E6" s="19" t="s">
        <v>16</v>
      </c>
      <c r="F6" s="19" t="s">
        <v>102</v>
      </c>
      <c r="G6" s="20" t="s">
        <v>217</v>
      </c>
      <c r="H6" s="20" t="s">
        <v>223</v>
      </c>
      <c r="I6" s="39" t="s">
        <v>330</v>
      </c>
      <c r="J6" s="39"/>
      <c r="K6" s="40" t="str">
        <f>"55,0"</f>
        <v>55,0</v>
      </c>
      <c r="L6" s="41" t="str">
        <f>"39,6073"</f>
        <v>39,6073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56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220</v>
      </c>
      <c r="B9" s="20" t="s">
        <v>221</v>
      </c>
      <c r="C9" s="20" t="s">
        <v>222</v>
      </c>
      <c r="D9" s="20" t="str">
        <f>"0,5657"</f>
        <v>0,5657</v>
      </c>
      <c r="E9" s="19" t="s">
        <v>16</v>
      </c>
      <c r="F9" s="19" t="s">
        <v>17</v>
      </c>
      <c r="G9" s="20" t="s">
        <v>331</v>
      </c>
      <c r="H9" s="39"/>
      <c r="I9" s="39"/>
      <c r="J9" s="39"/>
      <c r="K9" s="40" t="str">
        <f>"45,0"</f>
        <v>45,0</v>
      </c>
      <c r="L9" s="41" t="str">
        <f>"26,6784"</f>
        <v>26,6784</v>
      </c>
      <c r="M9" s="19"/>
    </row>
    <row r="11" ht="15.75" spans="5:5">
      <c r="E11" s="27" t="s">
        <v>37</v>
      </c>
    </row>
    <row r="12" ht="15.75" spans="5:5">
      <c r="E12" s="27" t="s">
        <v>38</v>
      </c>
    </row>
    <row r="13" ht="15.75" spans="5:5">
      <c r="E13" s="27" t="s">
        <v>39</v>
      </c>
    </row>
    <row r="14" spans="5:5">
      <c r="E14" s="4" t="s">
        <v>40</v>
      </c>
    </row>
    <row r="15" spans="5:5">
      <c r="E15" s="4" t="s">
        <v>41</v>
      </c>
    </row>
    <row r="16" spans="5:5">
      <c r="E16" s="4" t="s">
        <v>42</v>
      </c>
    </row>
    <row r="19" ht="18.75" spans="1:2">
      <c r="A19" s="28" t="s">
        <v>43</v>
      </c>
      <c r="B19" s="29"/>
    </row>
    <row r="20" ht="15.75" spans="1:2">
      <c r="A20" s="30" t="s">
        <v>44</v>
      </c>
      <c r="B20" s="21"/>
    </row>
    <row r="21" ht="15" spans="1:2">
      <c r="A21" s="31"/>
      <c r="B21" s="32" t="s">
        <v>139</v>
      </c>
    </row>
    <row r="22" ht="14.25" spans="1:5">
      <c r="A22" s="33" t="s">
        <v>1</v>
      </c>
      <c r="B22" s="33" t="s">
        <v>46</v>
      </c>
      <c r="C22" s="33" t="s">
        <v>47</v>
      </c>
      <c r="D22" s="33" t="s">
        <v>48</v>
      </c>
      <c r="E22" s="33" t="s">
        <v>328</v>
      </c>
    </row>
    <row r="23" spans="1:5">
      <c r="A23" s="34" t="s">
        <v>203</v>
      </c>
      <c r="B23" s="3" t="s">
        <v>246</v>
      </c>
      <c r="C23" s="3" t="s">
        <v>160</v>
      </c>
      <c r="D23" s="3" t="s">
        <v>223</v>
      </c>
      <c r="E23" s="5" t="s">
        <v>332</v>
      </c>
    </row>
    <row r="24" spans="1:5">
      <c r="A24" s="34" t="s">
        <v>243</v>
      </c>
      <c r="B24" s="3" t="s">
        <v>244</v>
      </c>
      <c r="C24" s="3" t="s">
        <v>64</v>
      </c>
      <c r="D24" s="3" t="s">
        <v>331</v>
      </c>
      <c r="E24" s="5" t="s">
        <v>333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24.4444444444444" style="4" customWidth="1"/>
    <col min="6" max="6" width="27.2222222222222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334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329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83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335</v>
      </c>
      <c r="B6" s="20" t="s">
        <v>336</v>
      </c>
      <c r="C6" s="20" t="s">
        <v>337</v>
      </c>
      <c r="D6" s="20" t="str">
        <f>"0,7357"</f>
        <v>0,7357</v>
      </c>
      <c r="E6" s="19" t="s">
        <v>87</v>
      </c>
      <c r="F6" s="19" t="s">
        <v>17</v>
      </c>
      <c r="G6" s="20" t="s">
        <v>217</v>
      </c>
      <c r="H6" s="20" t="s">
        <v>223</v>
      </c>
      <c r="I6" s="39" t="s">
        <v>330</v>
      </c>
      <c r="J6" s="39"/>
      <c r="K6" s="40" t="str">
        <f>"55,0"</f>
        <v>55,0</v>
      </c>
      <c r="L6" s="41" t="str">
        <f>"40,4635"</f>
        <v>40,4635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12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338</v>
      </c>
      <c r="B9" s="24" t="s">
        <v>339</v>
      </c>
      <c r="C9" s="24" t="s">
        <v>340</v>
      </c>
      <c r="D9" s="24" t="str">
        <f>"0,6680"</f>
        <v>0,6680</v>
      </c>
      <c r="E9" s="23" t="s">
        <v>16</v>
      </c>
      <c r="F9" s="23" t="s">
        <v>17</v>
      </c>
      <c r="G9" s="24" t="s">
        <v>330</v>
      </c>
      <c r="H9" s="24" t="s">
        <v>211</v>
      </c>
      <c r="I9" s="42" t="s">
        <v>341</v>
      </c>
      <c r="J9" s="42"/>
      <c r="K9" s="43" t="str">
        <f>"60,0"</f>
        <v>60,0</v>
      </c>
      <c r="L9" s="44" t="str">
        <f>"40,0800"</f>
        <v>40,0800</v>
      </c>
      <c r="M9" s="23"/>
    </row>
    <row r="10" spans="1:13">
      <c r="A10" s="48" t="s">
        <v>342</v>
      </c>
      <c r="B10" s="49" t="s">
        <v>343</v>
      </c>
      <c r="C10" s="49" t="s">
        <v>344</v>
      </c>
      <c r="D10" s="49" t="str">
        <f>"0,6708"</f>
        <v>0,6708</v>
      </c>
      <c r="E10" s="48" t="s">
        <v>16</v>
      </c>
      <c r="F10" s="48" t="s">
        <v>345</v>
      </c>
      <c r="G10" s="49" t="s">
        <v>331</v>
      </c>
      <c r="H10" s="49" t="s">
        <v>217</v>
      </c>
      <c r="I10" s="50" t="s">
        <v>346</v>
      </c>
      <c r="J10" s="50"/>
      <c r="K10" s="51" t="str">
        <f>"50,0"</f>
        <v>50,0</v>
      </c>
      <c r="L10" s="52" t="str">
        <f>"33,5400"</f>
        <v>33,5400</v>
      </c>
      <c r="M10" s="48"/>
    </row>
    <row r="11" spans="1:13">
      <c r="A11" s="48" t="s">
        <v>338</v>
      </c>
      <c r="B11" s="49" t="s">
        <v>347</v>
      </c>
      <c r="C11" s="49" t="s">
        <v>340</v>
      </c>
      <c r="D11" s="49" t="str">
        <f>"0,6680"</f>
        <v>0,6680</v>
      </c>
      <c r="E11" s="48" t="s">
        <v>16</v>
      </c>
      <c r="F11" s="48" t="s">
        <v>17</v>
      </c>
      <c r="G11" s="49" t="s">
        <v>330</v>
      </c>
      <c r="H11" s="49" t="s">
        <v>211</v>
      </c>
      <c r="I11" s="50" t="s">
        <v>341</v>
      </c>
      <c r="J11" s="50"/>
      <c r="K11" s="51" t="str">
        <f>"60,0"</f>
        <v>60,0</v>
      </c>
      <c r="L11" s="52" t="str">
        <f>"40,8014"</f>
        <v>40,8014</v>
      </c>
      <c r="M11" s="48"/>
    </row>
    <row r="12" spans="1:13">
      <c r="A12" s="48" t="s">
        <v>348</v>
      </c>
      <c r="B12" s="49" t="s">
        <v>349</v>
      </c>
      <c r="C12" s="49" t="s">
        <v>344</v>
      </c>
      <c r="D12" s="49" t="str">
        <f>"0,6708"</f>
        <v>0,6708</v>
      </c>
      <c r="E12" s="48" t="s">
        <v>16</v>
      </c>
      <c r="F12" s="48" t="s">
        <v>17</v>
      </c>
      <c r="G12" s="49" t="s">
        <v>223</v>
      </c>
      <c r="H12" s="49" t="s">
        <v>330</v>
      </c>
      <c r="I12" s="50" t="s">
        <v>211</v>
      </c>
      <c r="J12" s="50"/>
      <c r="K12" s="51" t="str">
        <f>"57,5"</f>
        <v>57,5</v>
      </c>
      <c r="L12" s="52" t="str">
        <f>"39,2653"</f>
        <v>39,2653</v>
      </c>
      <c r="M12" s="48"/>
    </row>
    <row r="13" spans="1:13">
      <c r="A13" s="25" t="s">
        <v>99</v>
      </c>
      <c r="B13" s="26" t="s">
        <v>219</v>
      </c>
      <c r="C13" s="26" t="s">
        <v>101</v>
      </c>
      <c r="D13" s="26" t="str">
        <f>"0,6694"</f>
        <v>0,6694</v>
      </c>
      <c r="E13" s="25" t="s">
        <v>16</v>
      </c>
      <c r="F13" s="25" t="s">
        <v>102</v>
      </c>
      <c r="G13" s="26" t="s">
        <v>350</v>
      </c>
      <c r="H13" s="45" t="s">
        <v>276</v>
      </c>
      <c r="I13" s="45" t="s">
        <v>276</v>
      </c>
      <c r="J13" s="45"/>
      <c r="K13" s="46" t="str">
        <f>"35,0"</f>
        <v>35,0</v>
      </c>
      <c r="L13" s="47" t="str">
        <f>"43,6951"</f>
        <v>43,6951</v>
      </c>
      <c r="M13" s="25"/>
    </row>
    <row r="15" ht="15.75" spans="1:10">
      <c r="A15" s="21" t="s">
        <v>21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23" t="s">
        <v>351</v>
      </c>
      <c r="B16" s="24" t="s">
        <v>352</v>
      </c>
      <c r="C16" s="24" t="s">
        <v>353</v>
      </c>
      <c r="D16" s="24" t="str">
        <f>"0,6262"</f>
        <v>0,6262</v>
      </c>
      <c r="E16" s="23" t="s">
        <v>16</v>
      </c>
      <c r="F16" s="23" t="s">
        <v>17</v>
      </c>
      <c r="G16" s="24" t="s">
        <v>331</v>
      </c>
      <c r="H16" s="24" t="s">
        <v>217</v>
      </c>
      <c r="I16" s="42" t="s">
        <v>346</v>
      </c>
      <c r="J16" s="42"/>
      <c r="K16" s="43" t="str">
        <f>"50,0"</f>
        <v>50,0</v>
      </c>
      <c r="L16" s="44" t="str">
        <f>"31,3100"</f>
        <v>31,3100</v>
      </c>
      <c r="M16" s="23"/>
    </row>
    <row r="17" spans="1:13">
      <c r="A17" s="48" t="s">
        <v>354</v>
      </c>
      <c r="B17" s="49" t="s">
        <v>355</v>
      </c>
      <c r="C17" s="49" t="s">
        <v>356</v>
      </c>
      <c r="D17" s="49" t="str">
        <f>"0,6384"</f>
        <v>0,6384</v>
      </c>
      <c r="E17" s="48" t="s">
        <v>16</v>
      </c>
      <c r="F17" s="48" t="s">
        <v>17</v>
      </c>
      <c r="G17" s="49" t="s">
        <v>341</v>
      </c>
      <c r="H17" s="50" t="s">
        <v>88</v>
      </c>
      <c r="I17" s="50" t="s">
        <v>88</v>
      </c>
      <c r="J17" s="50"/>
      <c r="K17" s="51" t="str">
        <f>"62,5"</f>
        <v>62,5</v>
      </c>
      <c r="L17" s="52" t="str">
        <f>"39,9000"</f>
        <v>39,9000</v>
      </c>
      <c r="M17" s="48"/>
    </row>
    <row r="18" spans="1:13">
      <c r="A18" s="25" t="s">
        <v>357</v>
      </c>
      <c r="B18" s="26" t="s">
        <v>358</v>
      </c>
      <c r="C18" s="26" t="s">
        <v>215</v>
      </c>
      <c r="D18" s="26" t="str">
        <f>"0,6329"</f>
        <v>0,6329</v>
      </c>
      <c r="E18" s="25" t="s">
        <v>16</v>
      </c>
      <c r="F18" s="25" t="s">
        <v>359</v>
      </c>
      <c r="G18" s="26" t="s">
        <v>98</v>
      </c>
      <c r="H18" s="45" t="s">
        <v>109</v>
      </c>
      <c r="I18" s="45" t="s">
        <v>109</v>
      </c>
      <c r="J18" s="45"/>
      <c r="K18" s="46" t="str">
        <f>"72,5"</f>
        <v>72,5</v>
      </c>
      <c r="L18" s="47" t="str">
        <f>"46,2982"</f>
        <v>46,2982</v>
      </c>
      <c r="M18" s="25"/>
    </row>
    <row r="20" ht="15.75" spans="1:10">
      <c r="A20" s="21" t="s">
        <v>116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3">
      <c r="A21" s="23" t="s">
        <v>360</v>
      </c>
      <c r="B21" s="24" t="s">
        <v>361</v>
      </c>
      <c r="C21" s="24" t="s">
        <v>362</v>
      </c>
      <c r="D21" s="24" t="str">
        <f>"0,5983"</f>
        <v>0,5983</v>
      </c>
      <c r="E21" s="23" t="s">
        <v>16</v>
      </c>
      <c r="F21" s="23" t="s">
        <v>363</v>
      </c>
      <c r="G21" s="24" t="s">
        <v>88</v>
      </c>
      <c r="H21" s="24" t="s">
        <v>181</v>
      </c>
      <c r="I21" s="42" t="s">
        <v>98</v>
      </c>
      <c r="J21" s="42"/>
      <c r="K21" s="43" t="str">
        <f>"70,0"</f>
        <v>70,0</v>
      </c>
      <c r="L21" s="44" t="str">
        <f>"41,8810"</f>
        <v>41,8810</v>
      </c>
      <c r="M21" s="23"/>
    </row>
    <row r="22" spans="1:13">
      <c r="A22" s="25" t="s">
        <v>122</v>
      </c>
      <c r="B22" s="26" t="s">
        <v>364</v>
      </c>
      <c r="C22" s="26" t="s">
        <v>124</v>
      </c>
      <c r="D22" s="26" t="str">
        <f>"0,5881"</f>
        <v>0,5881</v>
      </c>
      <c r="E22" s="25" t="s">
        <v>16</v>
      </c>
      <c r="F22" s="25" t="s">
        <v>125</v>
      </c>
      <c r="G22" s="26" t="s">
        <v>223</v>
      </c>
      <c r="H22" s="26" t="s">
        <v>211</v>
      </c>
      <c r="I22" s="45"/>
      <c r="J22" s="45"/>
      <c r="K22" s="46" t="str">
        <f>"60,0"</f>
        <v>60,0</v>
      </c>
      <c r="L22" s="47" t="str">
        <f>"35,3919"</f>
        <v>35,3919</v>
      </c>
      <c r="M22" s="25"/>
    </row>
    <row r="24" ht="15.75" spans="1:10">
      <c r="A24" s="21" t="s">
        <v>56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3">
      <c r="A25" s="23" t="s">
        <v>128</v>
      </c>
      <c r="B25" s="24" t="s">
        <v>365</v>
      </c>
      <c r="C25" s="24" t="s">
        <v>366</v>
      </c>
      <c r="D25" s="24" t="str">
        <f>"0,5570"</f>
        <v>0,5570</v>
      </c>
      <c r="E25" s="23" t="s">
        <v>16</v>
      </c>
      <c r="F25" s="23" t="s">
        <v>131</v>
      </c>
      <c r="G25" s="24" t="s">
        <v>217</v>
      </c>
      <c r="H25" s="24" t="s">
        <v>223</v>
      </c>
      <c r="I25" s="24" t="s">
        <v>211</v>
      </c>
      <c r="J25" s="42"/>
      <c r="K25" s="43" t="str">
        <f>"60,0"</f>
        <v>60,0</v>
      </c>
      <c r="L25" s="44" t="str">
        <f>"33,7208"</f>
        <v>33,7208</v>
      </c>
      <c r="M25" s="23"/>
    </row>
    <row r="26" spans="1:13">
      <c r="A26" s="25" t="s">
        <v>367</v>
      </c>
      <c r="B26" s="26" t="s">
        <v>368</v>
      </c>
      <c r="C26" s="26" t="s">
        <v>369</v>
      </c>
      <c r="D26" s="26" t="str">
        <f>"0,5701"</f>
        <v>0,5701</v>
      </c>
      <c r="E26" s="25" t="s">
        <v>87</v>
      </c>
      <c r="F26" s="25" t="s">
        <v>17</v>
      </c>
      <c r="G26" s="26" t="s">
        <v>217</v>
      </c>
      <c r="H26" s="26" t="s">
        <v>223</v>
      </c>
      <c r="I26" s="26" t="s">
        <v>330</v>
      </c>
      <c r="J26" s="45"/>
      <c r="K26" s="46" t="str">
        <f>"57,5"</f>
        <v>57,5</v>
      </c>
      <c r="L26" s="47" t="str">
        <f>"34,3542"</f>
        <v>34,3542</v>
      </c>
      <c r="M26" s="25"/>
    </row>
    <row r="28" ht="15.75" spans="5:5">
      <c r="E28" s="27" t="s">
        <v>37</v>
      </c>
    </row>
    <row r="29" ht="15.75" spans="5:5">
      <c r="E29" s="27" t="s">
        <v>38</v>
      </c>
    </row>
    <row r="30" ht="15.75" spans="5:5">
      <c r="E30" s="27" t="s">
        <v>39</v>
      </c>
    </row>
    <row r="31" spans="5:5">
      <c r="E31" s="4" t="s">
        <v>40</v>
      </c>
    </row>
    <row r="32" spans="5:5">
      <c r="E32" s="4" t="s">
        <v>41</v>
      </c>
    </row>
    <row r="33" spans="5:5">
      <c r="E33" s="4" t="s">
        <v>42</v>
      </c>
    </row>
    <row r="36" ht="18.75" spans="1:2">
      <c r="A36" s="28" t="s">
        <v>43</v>
      </c>
      <c r="B36" s="29"/>
    </row>
    <row r="37" ht="15.75" spans="1:2">
      <c r="A37" s="30" t="s">
        <v>44</v>
      </c>
      <c r="B37" s="21"/>
    </row>
    <row r="38" ht="15" spans="1:2">
      <c r="A38" s="31"/>
      <c r="B38" s="32" t="s">
        <v>370</v>
      </c>
    </row>
    <row r="39" ht="14.25" spans="1:5">
      <c r="A39" s="33" t="s">
        <v>1</v>
      </c>
      <c r="B39" s="33" t="s">
        <v>46</v>
      </c>
      <c r="C39" s="33" t="s">
        <v>47</v>
      </c>
      <c r="D39" s="33" t="s">
        <v>48</v>
      </c>
      <c r="E39" s="33" t="s">
        <v>328</v>
      </c>
    </row>
    <row r="40" spans="1:5">
      <c r="A40" s="34" t="s">
        <v>371</v>
      </c>
      <c r="B40" s="3" t="s">
        <v>372</v>
      </c>
      <c r="C40" s="3" t="s">
        <v>53</v>
      </c>
      <c r="D40" s="3" t="s">
        <v>217</v>
      </c>
      <c r="E40" s="5" t="s">
        <v>373</v>
      </c>
    </row>
    <row r="42" ht="15" spans="1:2">
      <c r="A42" s="31"/>
      <c r="B42" s="32" t="s">
        <v>45</v>
      </c>
    </row>
    <row r="43" ht="14.25" spans="1:5">
      <c r="A43" s="33" t="s">
        <v>1</v>
      </c>
      <c r="B43" s="33" t="s">
        <v>46</v>
      </c>
      <c r="C43" s="33" t="s">
        <v>47</v>
      </c>
      <c r="D43" s="33" t="s">
        <v>48</v>
      </c>
      <c r="E43" s="33" t="s">
        <v>328</v>
      </c>
    </row>
    <row r="44" spans="1:5">
      <c r="A44" s="34" t="s">
        <v>374</v>
      </c>
      <c r="B44" s="3" t="s">
        <v>45</v>
      </c>
      <c r="C44" s="3" t="s">
        <v>153</v>
      </c>
      <c r="D44" s="3" t="s">
        <v>181</v>
      </c>
      <c r="E44" s="5" t="s">
        <v>375</v>
      </c>
    </row>
    <row r="45" spans="1:5">
      <c r="A45" s="34" t="s">
        <v>376</v>
      </c>
      <c r="B45" s="3" t="s">
        <v>45</v>
      </c>
      <c r="C45" s="3" t="s">
        <v>136</v>
      </c>
      <c r="D45" s="3" t="s">
        <v>223</v>
      </c>
      <c r="E45" s="5" t="s">
        <v>377</v>
      </c>
    </row>
    <row r="46" spans="1:5">
      <c r="A46" s="34" t="s">
        <v>378</v>
      </c>
      <c r="B46" s="3" t="s">
        <v>45</v>
      </c>
      <c r="C46" s="3" t="s">
        <v>160</v>
      </c>
      <c r="D46" s="3" t="s">
        <v>211</v>
      </c>
      <c r="E46" s="5" t="s">
        <v>379</v>
      </c>
    </row>
    <row r="47" spans="1:5">
      <c r="A47" s="34" t="s">
        <v>380</v>
      </c>
      <c r="B47" s="3" t="s">
        <v>45</v>
      </c>
      <c r="C47" s="3" t="s">
        <v>53</v>
      </c>
      <c r="D47" s="3" t="s">
        <v>341</v>
      </c>
      <c r="E47" s="5" t="s">
        <v>381</v>
      </c>
    </row>
    <row r="48" spans="1:5">
      <c r="A48" s="34" t="s">
        <v>382</v>
      </c>
      <c r="B48" s="3" t="s">
        <v>45</v>
      </c>
      <c r="C48" s="3" t="s">
        <v>160</v>
      </c>
      <c r="D48" s="3" t="s">
        <v>217</v>
      </c>
      <c r="E48" s="5" t="s">
        <v>383</v>
      </c>
    </row>
    <row r="50" ht="15" spans="1:2">
      <c r="A50" s="31"/>
      <c r="B50" s="32" t="s">
        <v>139</v>
      </c>
    </row>
    <row r="51" ht="14.25" spans="1:5">
      <c r="A51" s="33" t="s">
        <v>1</v>
      </c>
      <c r="B51" s="33" t="s">
        <v>46</v>
      </c>
      <c r="C51" s="33" t="s">
        <v>47</v>
      </c>
      <c r="D51" s="33" t="s">
        <v>48</v>
      </c>
      <c r="E51" s="33" t="s">
        <v>328</v>
      </c>
    </row>
    <row r="52" spans="1:5">
      <c r="A52" s="34" t="s">
        <v>384</v>
      </c>
      <c r="B52" s="3" t="s">
        <v>246</v>
      </c>
      <c r="C52" s="3" t="s">
        <v>53</v>
      </c>
      <c r="D52" s="3" t="s">
        <v>98</v>
      </c>
      <c r="E52" s="5" t="s">
        <v>385</v>
      </c>
    </row>
    <row r="53" spans="1:5">
      <c r="A53" s="34" t="s">
        <v>167</v>
      </c>
      <c r="B53" s="3" t="s">
        <v>238</v>
      </c>
      <c r="C53" s="3" t="s">
        <v>160</v>
      </c>
      <c r="D53" s="3" t="s">
        <v>350</v>
      </c>
      <c r="E53" s="5" t="s">
        <v>386</v>
      </c>
    </row>
    <row r="54" spans="1:5">
      <c r="A54" s="34" t="s">
        <v>378</v>
      </c>
      <c r="B54" s="3" t="s">
        <v>246</v>
      </c>
      <c r="C54" s="3" t="s">
        <v>160</v>
      </c>
      <c r="D54" s="3" t="s">
        <v>211</v>
      </c>
      <c r="E54" s="5" t="s">
        <v>387</v>
      </c>
    </row>
    <row r="55" spans="1:5">
      <c r="A55" s="34" t="s">
        <v>388</v>
      </c>
      <c r="B55" s="3" t="s">
        <v>246</v>
      </c>
      <c r="C55" s="3" t="s">
        <v>160</v>
      </c>
      <c r="D55" s="3" t="s">
        <v>330</v>
      </c>
      <c r="E55" s="5" t="s">
        <v>389</v>
      </c>
    </row>
    <row r="56" spans="1:5">
      <c r="A56" s="34" t="s">
        <v>164</v>
      </c>
      <c r="B56" s="3" t="s">
        <v>246</v>
      </c>
      <c r="C56" s="3" t="s">
        <v>153</v>
      </c>
      <c r="D56" s="3" t="s">
        <v>211</v>
      </c>
      <c r="E56" s="5" t="s">
        <v>390</v>
      </c>
    </row>
    <row r="57" spans="1:5">
      <c r="A57" s="34" t="s">
        <v>391</v>
      </c>
      <c r="B57" s="3" t="s">
        <v>244</v>
      </c>
      <c r="C57" s="3" t="s">
        <v>64</v>
      </c>
      <c r="D57" s="3" t="s">
        <v>330</v>
      </c>
      <c r="E57" s="5" t="s">
        <v>392</v>
      </c>
    </row>
    <row r="58" spans="1:5">
      <c r="A58" s="34" t="s">
        <v>155</v>
      </c>
      <c r="B58" s="3" t="s">
        <v>246</v>
      </c>
      <c r="C58" s="3" t="s">
        <v>64</v>
      </c>
      <c r="D58" s="3" t="s">
        <v>211</v>
      </c>
      <c r="E58" s="5" t="s">
        <v>393</v>
      </c>
    </row>
  </sheetData>
  <mergeCells count="16">
    <mergeCell ref="G3:J3"/>
    <mergeCell ref="A5:J5"/>
    <mergeCell ref="A8:J8"/>
    <mergeCell ref="A15:J15"/>
    <mergeCell ref="A20:J20"/>
    <mergeCell ref="A24:J24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24.4444444444444" style="4" customWidth="1"/>
    <col min="6" max="6" width="19.3333333333333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394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395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21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3" t="s">
        <v>396</v>
      </c>
      <c r="B6" s="24" t="s">
        <v>397</v>
      </c>
      <c r="C6" s="24" t="s">
        <v>398</v>
      </c>
      <c r="D6" s="24" t="str">
        <f>"0,7134"</f>
        <v>0,7134</v>
      </c>
      <c r="E6" s="23" t="s">
        <v>16</v>
      </c>
      <c r="F6" s="23" t="s">
        <v>216</v>
      </c>
      <c r="G6" s="24" t="s">
        <v>276</v>
      </c>
      <c r="H6" s="24" t="s">
        <v>217</v>
      </c>
      <c r="I6" s="24" t="s">
        <v>223</v>
      </c>
      <c r="J6" s="42"/>
      <c r="K6" s="43" t="str">
        <f>"55,0"</f>
        <v>55,0</v>
      </c>
      <c r="L6" s="44" t="str">
        <f>"39,2370"</f>
        <v>39,2370</v>
      </c>
      <c r="M6" s="23"/>
    </row>
    <row r="7" s="3" customFormat="1" spans="1:13">
      <c r="A7" s="25" t="s">
        <v>396</v>
      </c>
      <c r="B7" s="26" t="s">
        <v>399</v>
      </c>
      <c r="C7" s="26" t="s">
        <v>398</v>
      </c>
      <c r="D7" s="26" t="str">
        <f>"0,7134"</f>
        <v>0,7134</v>
      </c>
      <c r="E7" s="25" t="s">
        <v>16</v>
      </c>
      <c r="F7" s="25" t="s">
        <v>216</v>
      </c>
      <c r="G7" s="26" t="s">
        <v>276</v>
      </c>
      <c r="H7" s="26" t="s">
        <v>217</v>
      </c>
      <c r="I7" s="26" t="s">
        <v>223</v>
      </c>
      <c r="J7" s="45"/>
      <c r="K7" s="46" t="str">
        <f>"55,0"</f>
        <v>55,0</v>
      </c>
      <c r="L7" s="47" t="str">
        <f>"39,3547"</f>
        <v>39,3547</v>
      </c>
      <c r="M7" s="25"/>
    </row>
    <row r="9" ht="15.75" spans="1:10">
      <c r="A9" s="21" t="s">
        <v>56</v>
      </c>
      <c r="B9" s="22"/>
      <c r="C9" s="22"/>
      <c r="D9" s="22"/>
      <c r="E9" s="22"/>
      <c r="F9" s="22"/>
      <c r="G9" s="22"/>
      <c r="H9" s="22"/>
      <c r="I9" s="22"/>
      <c r="J9" s="22"/>
    </row>
    <row r="10" spans="1:13">
      <c r="A10" s="19" t="s">
        <v>367</v>
      </c>
      <c r="B10" s="20" t="s">
        <v>368</v>
      </c>
      <c r="C10" s="20" t="s">
        <v>369</v>
      </c>
      <c r="D10" s="20" t="str">
        <f>"0,5701"</f>
        <v>0,5701</v>
      </c>
      <c r="E10" s="19" t="s">
        <v>87</v>
      </c>
      <c r="F10" s="19" t="s">
        <v>17</v>
      </c>
      <c r="G10" s="20" t="s">
        <v>223</v>
      </c>
      <c r="H10" s="20" t="s">
        <v>341</v>
      </c>
      <c r="I10" s="39" t="s">
        <v>88</v>
      </c>
      <c r="J10" s="39"/>
      <c r="K10" s="40" t="str">
        <f>"62,5"</f>
        <v>62,5</v>
      </c>
      <c r="L10" s="41" t="str">
        <f>"37,3416"</f>
        <v>37,3416</v>
      </c>
      <c r="M10" s="19"/>
    </row>
    <row r="12" ht="15.75" spans="5:5">
      <c r="E12" s="27" t="s">
        <v>37</v>
      </c>
    </row>
    <row r="13" ht="15.75" spans="5:5">
      <c r="E13" s="27" t="s">
        <v>38</v>
      </c>
    </row>
    <row r="14" ht="15.75" spans="5:5">
      <c r="E14" s="27" t="s">
        <v>39</v>
      </c>
    </row>
    <row r="15" spans="5:5">
      <c r="E15" s="4" t="s">
        <v>40</v>
      </c>
    </row>
    <row r="16" spans="5:5">
      <c r="E16" s="4" t="s">
        <v>41</v>
      </c>
    </row>
    <row r="17" spans="5:5">
      <c r="E17" s="4" t="s">
        <v>42</v>
      </c>
    </row>
    <row r="20" ht="18.75" spans="1:2">
      <c r="A20" s="28" t="s">
        <v>43</v>
      </c>
      <c r="B20" s="29"/>
    </row>
    <row r="21" ht="15.75" spans="1:2">
      <c r="A21" s="30" t="s">
        <v>77</v>
      </c>
      <c r="B21" s="21"/>
    </row>
    <row r="22" ht="15" spans="1:2">
      <c r="A22" s="31"/>
      <c r="B22" s="32" t="s">
        <v>45</v>
      </c>
    </row>
    <row r="23" ht="14.25" spans="1:5">
      <c r="A23" s="33" t="s">
        <v>1</v>
      </c>
      <c r="B23" s="33" t="s">
        <v>46</v>
      </c>
      <c r="C23" s="33" t="s">
        <v>47</v>
      </c>
      <c r="D23" s="33" t="s">
        <v>48</v>
      </c>
      <c r="E23" s="33" t="s">
        <v>328</v>
      </c>
    </row>
    <row r="24" spans="1:5">
      <c r="A24" s="34" t="s">
        <v>400</v>
      </c>
      <c r="B24" s="3" t="s">
        <v>45</v>
      </c>
      <c r="C24" s="3" t="s">
        <v>53</v>
      </c>
      <c r="D24" s="3" t="s">
        <v>223</v>
      </c>
      <c r="E24" s="5" t="s">
        <v>401</v>
      </c>
    </row>
    <row r="26" ht="15" spans="1:2">
      <c r="A26" s="31"/>
      <c r="B26" s="32" t="s">
        <v>139</v>
      </c>
    </row>
    <row r="27" ht="14.25" spans="1:5">
      <c r="A27" s="33" t="s">
        <v>1</v>
      </c>
      <c r="B27" s="33" t="s">
        <v>46</v>
      </c>
      <c r="C27" s="33" t="s">
        <v>47</v>
      </c>
      <c r="D27" s="33" t="s">
        <v>48</v>
      </c>
      <c r="E27" s="33" t="s">
        <v>328</v>
      </c>
    </row>
    <row r="28" spans="1:5">
      <c r="A28" s="34" t="s">
        <v>400</v>
      </c>
      <c r="B28" s="3" t="s">
        <v>246</v>
      </c>
      <c r="C28" s="3" t="s">
        <v>53</v>
      </c>
      <c r="D28" s="3" t="s">
        <v>223</v>
      </c>
      <c r="E28" s="5" t="s">
        <v>402</v>
      </c>
    </row>
    <row r="31" ht="15.75" spans="1:2">
      <c r="A31" s="30" t="s">
        <v>44</v>
      </c>
      <c r="B31" s="21"/>
    </row>
    <row r="32" ht="15" spans="1:2">
      <c r="A32" s="31"/>
      <c r="B32" s="32" t="s">
        <v>139</v>
      </c>
    </row>
    <row r="33" ht="14.25" spans="1:5">
      <c r="A33" s="33" t="s">
        <v>1</v>
      </c>
      <c r="B33" s="33" t="s">
        <v>46</v>
      </c>
      <c r="C33" s="33" t="s">
        <v>47</v>
      </c>
      <c r="D33" s="33" t="s">
        <v>48</v>
      </c>
      <c r="E33" s="33" t="s">
        <v>328</v>
      </c>
    </row>
    <row r="34" spans="1:5">
      <c r="A34" s="34" t="s">
        <v>391</v>
      </c>
      <c r="B34" s="3" t="s">
        <v>244</v>
      </c>
      <c r="C34" s="3" t="s">
        <v>64</v>
      </c>
      <c r="D34" s="3" t="s">
        <v>341</v>
      </c>
      <c r="E34" s="5" t="s">
        <v>403</v>
      </c>
    </row>
  </sheetData>
  <mergeCells count="13">
    <mergeCell ref="G3:J3"/>
    <mergeCell ref="A5:J5"/>
    <mergeCell ref="A9:J9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9"/>
  <sheetViews>
    <sheetView tabSelected="1"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4.1111111111111" style="3" customWidth="1"/>
    <col min="3" max="3" width="7.55555555555556" style="3" customWidth="1"/>
    <col min="4" max="4" width="8.77777777777778" style="3" customWidth="1"/>
    <col min="5" max="5" width="24.4444444444444" style="4" customWidth="1"/>
    <col min="6" max="6" width="23.3333333333333" style="4" customWidth="1"/>
    <col min="7" max="9" width="5.55555555555556" style="3" customWidth="1"/>
    <col min="10" max="10" width="4.77777777777778" style="3" customWidth="1"/>
    <col min="11" max="13" width="5.55555555555556" style="3" customWidth="1"/>
    <col min="14" max="14" width="4.77777777777778" style="3" customWidth="1"/>
    <col min="15" max="17" width="5.55555555555556" style="3" customWidth="1"/>
    <col min="18" max="18" width="4.77777777777778" style="3" customWidth="1"/>
    <col min="19" max="19" width="5.77777777777778" style="5" customWidth="1"/>
    <col min="20" max="20" width="8.55555555555556" style="6" customWidth="1"/>
    <col min="21" max="21" width="14" style="4" customWidth="1"/>
    <col min="22" max="16384" width="9.11111111111111" style="7"/>
  </cols>
  <sheetData>
    <row r="1" s="1" customFormat="1" ht="28.95" customHeight="1" spans="1:21">
      <c r="A1" s="8" t="s">
        <v>404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5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6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405</v>
      </c>
      <c r="H3" s="14"/>
      <c r="I3" s="14"/>
      <c r="J3" s="14"/>
      <c r="K3" s="14" t="s">
        <v>7</v>
      </c>
      <c r="L3" s="14"/>
      <c r="M3" s="14"/>
      <c r="N3" s="14"/>
      <c r="O3" s="14" t="s">
        <v>406</v>
      </c>
      <c r="P3" s="14"/>
      <c r="Q3" s="14"/>
      <c r="R3" s="14"/>
      <c r="S3" s="14" t="s">
        <v>407</v>
      </c>
      <c r="T3" s="14" t="s">
        <v>9</v>
      </c>
      <c r="U3" s="37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>
        <v>1</v>
      </c>
      <c r="L4" s="16">
        <v>2</v>
      </c>
      <c r="M4" s="16">
        <v>3</v>
      </c>
      <c r="N4" s="16" t="s">
        <v>11</v>
      </c>
      <c r="O4" s="16">
        <v>1</v>
      </c>
      <c r="P4" s="16">
        <v>2</v>
      </c>
      <c r="Q4" s="16">
        <v>3</v>
      </c>
      <c r="R4" s="16" t="s">
        <v>11</v>
      </c>
      <c r="S4" s="16"/>
      <c r="T4" s="16"/>
      <c r="U4" s="38"/>
    </row>
    <row r="5" s="3" customFormat="1" ht="15.75" spans="1:21">
      <c r="A5" s="17" t="s">
        <v>408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19" t="s">
        <v>409</v>
      </c>
      <c r="B6" s="20" t="s">
        <v>410</v>
      </c>
      <c r="C6" s="20" t="s">
        <v>411</v>
      </c>
      <c r="D6" s="20" t="str">
        <f>"1,0199"</f>
        <v>1,0199</v>
      </c>
      <c r="E6" s="19" t="s">
        <v>16</v>
      </c>
      <c r="F6" s="19" t="s">
        <v>17</v>
      </c>
      <c r="G6" s="20" t="s">
        <v>346</v>
      </c>
      <c r="H6" s="20" t="s">
        <v>223</v>
      </c>
      <c r="I6" s="20" t="s">
        <v>211</v>
      </c>
      <c r="J6" s="39"/>
      <c r="K6" s="20" t="s">
        <v>412</v>
      </c>
      <c r="L6" s="20" t="s">
        <v>413</v>
      </c>
      <c r="M6" s="20" t="s">
        <v>276</v>
      </c>
      <c r="N6" s="39"/>
      <c r="O6" s="20" t="s">
        <v>223</v>
      </c>
      <c r="P6" s="20" t="s">
        <v>211</v>
      </c>
      <c r="Q6" s="20" t="s">
        <v>88</v>
      </c>
      <c r="R6" s="39"/>
      <c r="S6" s="40" t="str">
        <f>"165,0"</f>
        <v>165,0</v>
      </c>
      <c r="T6" s="41" t="str">
        <f>"168,2835"</f>
        <v>168,2835</v>
      </c>
      <c r="U6" s="19"/>
    </row>
    <row r="7" s="3" customFormat="1" spans="1:21">
      <c r="A7" s="4"/>
      <c r="E7" s="4"/>
      <c r="F7" s="4"/>
      <c r="S7" s="5"/>
      <c r="T7" s="6"/>
      <c r="U7" s="4"/>
    </row>
    <row r="8" ht="15.75" spans="1:18">
      <c r="A8" s="21" t="s">
        <v>271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21">
      <c r="A9" s="23" t="s">
        <v>414</v>
      </c>
      <c r="B9" s="24" t="s">
        <v>415</v>
      </c>
      <c r="C9" s="24" t="s">
        <v>416</v>
      </c>
      <c r="D9" s="24" t="str">
        <f>"0,8851"</f>
        <v>0,8851</v>
      </c>
      <c r="E9" s="23" t="s">
        <v>16</v>
      </c>
      <c r="F9" s="23" t="s">
        <v>17</v>
      </c>
      <c r="G9" s="42" t="s">
        <v>109</v>
      </c>
      <c r="H9" s="24" t="s">
        <v>120</v>
      </c>
      <c r="I9" s="24" t="s">
        <v>417</v>
      </c>
      <c r="J9" s="42"/>
      <c r="K9" s="24" t="s">
        <v>217</v>
      </c>
      <c r="L9" s="42" t="s">
        <v>330</v>
      </c>
      <c r="M9" s="42" t="s">
        <v>330</v>
      </c>
      <c r="N9" s="42"/>
      <c r="O9" s="24" t="s">
        <v>282</v>
      </c>
      <c r="P9" s="24" t="s">
        <v>283</v>
      </c>
      <c r="Q9" s="42" t="s">
        <v>418</v>
      </c>
      <c r="R9" s="42"/>
      <c r="S9" s="43" t="str">
        <f>"275,0"</f>
        <v>275,0</v>
      </c>
      <c r="T9" s="44" t="str">
        <f>"243,4025"</f>
        <v>243,4025</v>
      </c>
      <c r="U9" s="23"/>
    </row>
    <row r="10" spans="1:21">
      <c r="A10" s="25" t="s">
        <v>419</v>
      </c>
      <c r="B10" s="26" t="s">
        <v>420</v>
      </c>
      <c r="C10" s="26" t="s">
        <v>421</v>
      </c>
      <c r="D10" s="26" t="str">
        <f>"0,8713"</f>
        <v>0,8713</v>
      </c>
      <c r="E10" s="25" t="s">
        <v>16</v>
      </c>
      <c r="F10" s="25" t="s">
        <v>17</v>
      </c>
      <c r="G10" s="45" t="s">
        <v>103</v>
      </c>
      <c r="H10" s="26" t="s">
        <v>103</v>
      </c>
      <c r="I10" s="26" t="s">
        <v>109</v>
      </c>
      <c r="J10" s="45"/>
      <c r="K10" s="26" t="s">
        <v>217</v>
      </c>
      <c r="L10" s="45" t="s">
        <v>223</v>
      </c>
      <c r="M10" s="26" t="s">
        <v>211</v>
      </c>
      <c r="N10" s="45"/>
      <c r="O10" s="26" t="s">
        <v>109</v>
      </c>
      <c r="P10" s="26" t="s">
        <v>126</v>
      </c>
      <c r="Q10" s="26" t="s">
        <v>132</v>
      </c>
      <c r="R10" s="45"/>
      <c r="S10" s="46" t="str">
        <f>"240,0"</f>
        <v>240,0</v>
      </c>
      <c r="T10" s="47" t="str">
        <f>"209,1120"</f>
        <v>209,1120</v>
      </c>
      <c r="U10" s="25"/>
    </row>
    <row r="12" ht="15.75" spans="1:18">
      <c r="A12" s="21" t="s">
        <v>83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21">
      <c r="A13" s="19" t="s">
        <v>422</v>
      </c>
      <c r="B13" s="20" t="s">
        <v>423</v>
      </c>
      <c r="C13" s="20" t="s">
        <v>424</v>
      </c>
      <c r="D13" s="20" t="str">
        <f>"0,7580"</f>
        <v>0,7580</v>
      </c>
      <c r="E13" s="19" t="s">
        <v>16</v>
      </c>
      <c r="F13" s="19" t="s">
        <v>17</v>
      </c>
      <c r="G13" s="20" t="s">
        <v>181</v>
      </c>
      <c r="H13" s="20" t="s">
        <v>228</v>
      </c>
      <c r="I13" s="20" t="s">
        <v>114</v>
      </c>
      <c r="J13" s="39"/>
      <c r="K13" s="20" t="s">
        <v>331</v>
      </c>
      <c r="L13" s="20" t="s">
        <v>217</v>
      </c>
      <c r="M13" s="39" t="s">
        <v>346</v>
      </c>
      <c r="N13" s="39"/>
      <c r="O13" s="20" t="s">
        <v>417</v>
      </c>
      <c r="P13" s="20" t="s">
        <v>191</v>
      </c>
      <c r="Q13" s="20" t="s">
        <v>425</v>
      </c>
      <c r="R13" s="39"/>
      <c r="S13" s="40" t="str">
        <f>"247,5"</f>
        <v>247,5</v>
      </c>
      <c r="T13" s="41" t="str">
        <f>"187,6050"</f>
        <v>187,6050</v>
      </c>
      <c r="U13" s="19"/>
    </row>
    <row r="15" ht="15.75" spans="1:18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21">
      <c r="A16" s="19" t="s">
        <v>426</v>
      </c>
      <c r="B16" s="20" t="s">
        <v>427</v>
      </c>
      <c r="C16" s="20" t="s">
        <v>97</v>
      </c>
      <c r="D16" s="20" t="str">
        <f>"0,6851"</f>
        <v>0,6851</v>
      </c>
      <c r="E16" s="19" t="s">
        <v>16</v>
      </c>
      <c r="F16" s="19" t="s">
        <v>17</v>
      </c>
      <c r="G16" s="20" t="s">
        <v>428</v>
      </c>
      <c r="H16" s="39" t="s">
        <v>425</v>
      </c>
      <c r="I16" s="20" t="s">
        <v>425</v>
      </c>
      <c r="J16" s="39"/>
      <c r="K16" s="20" t="s">
        <v>120</v>
      </c>
      <c r="L16" s="39" t="s">
        <v>417</v>
      </c>
      <c r="M16" s="20" t="s">
        <v>132</v>
      </c>
      <c r="N16" s="39"/>
      <c r="O16" s="20" t="s">
        <v>429</v>
      </c>
      <c r="P16" s="20" t="s">
        <v>430</v>
      </c>
      <c r="Q16" s="20" t="s">
        <v>18</v>
      </c>
      <c r="R16" s="39"/>
      <c r="S16" s="40" t="str">
        <f>"365,0"</f>
        <v>365,0</v>
      </c>
      <c r="T16" s="41" t="str">
        <f>"250,0615"</f>
        <v>250,0615</v>
      </c>
      <c r="U16" s="19"/>
    </row>
    <row r="18" ht="15.75" spans="1:18">
      <c r="A18" s="21" t="s">
        <v>21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21">
      <c r="A19" s="23" t="s">
        <v>431</v>
      </c>
      <c r="B19" s="24" t="s">
        <v>432</v>
      </c>
      <c r="C19" s="24" t="s">
        <v>433</v>
      </c>
      <c r="D19" s="24" t="str">
        <f>"0,6405"</f>
        <v>0,6405</v>
      </c>
      <c r="E19" s="23" t="s">
        <v>16</v>
      </c>
      <c r="F19" s="23" t="s">
        <v>434</v>
      </c>
      <c r="G19" s="24" t="s">
        <v>289</v>
      </c>
      <c r="H19" s="24" t="s">
        <v>18</v>
      </c>
      <c r="I19" s="24" t="s">
        <v>19</v>
      </c>
      <c r="J19" s="42"/>
      <c r="K19" s="24" t="s">
        <v>120</v>
      </c>
      <c r="L19" s="24" t="s">
        <v>126</v>
      </c>
      <c r="M19" s="24" t="s">
        <v>417</v>
      </c>
      <c r="N19" s="42"/>
      <c r="O19" s="24" t="s">
        <v>283</v>
      </c>
      <c r="P19" s="24" t="s">
        <v>289</v>
      </c>
      <c r="Q19" s="24" t="s">
        <v>18</v>
      </c>
      <c r="R19" s="42"/>
      <c r="S19" s="43" t="str">
        <f>"400,0"</f>
        <v>400,0</v>
      </c>
      <c r="T19" s="44" t="str">
        <f>"256,2000"</f>
        <v>256,2000</v>
      </c>
      <c r="U19" s="23" t="s">
        <v>435</v>
      </c>
    </row>
    <row r="20" spans="1:21">
      <c r="A20" s="25" t="s">
        <v>436</v>
      </c>
      <c r="B20" s="26" t="s">
        <v>437</v>
      </c>
      <c r="C20" s="26" t="s">
        <v>438</v>
      </c>
      <c r="D20" s="26" t="str">
        <f>"0,6394"</f>
        <v>0,6394</v>
      </c>
      <c r="E20" s="25" t="s">
        <v>16</v>
      </c>
      <c r="F20" s="25" t="s">
        <v>439</v>
      </c>
      <c r="G20" s="26" t="s">
        <v>19</v>
      </c>
      <c r="H20" s="26" t="s">
        <v>440</v>
      </c>
      <c r="I20" s="26" t="s">
        <v>441</v>
      </c>
      <c r="J20" s="45"/>
      <c r="K20" s="26" t="s">
        <v>428</v>
      </c>
      <c r="L20" s="26" t="s">
        <v>442</v>
      </c>
      <c r="M20" s="26" t="s">
        <v>443</v>
      </c>
      <c r="N20" s="45"/>
      <c r="O20" s="26" t="s">
        <v>441</v>
      </c>
      <c r="P20" s="26" t="s">
        <v>444</v>
      </c>
      <c r="Q20" s="26" t="s">
        <v>445</v>
      </c>
      <c r="R20" s="45"/>
      <c r="S20" s="46" t="str">
        <f>"477,5"</f>
        <v>477,5</v>
      </c>
      <c r="T20" s="47" t="str">
        <f>"305,3135"</f>
        <v>305,3135</v>
      </c>
      <c r="U20" s="25"/>
    </row>
    <row r="22" ht="15.75" spans="1:18">
      <c r="A22" s="21" t="s">
        <v>116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21">
      <c r="A23" s="23" t="s">
        <v>446</v>
      </c>
      <c r="B23" s="24" t="s">
        <v>447</v>
      </c>
      <c r="C23" s="24" t="s">
        <v>448</v>
      </c>
      <c r="D23" s="24" t="str">
        <f>"0,5939"</f>
        <v>0,5939</v>
      </c>
      <c r="E23" s="23" t="s">
        <v>449</v>
      </c>
      <c r="F23" s="23" t="s">
        <v>17</v>
      </c>
      <c r="G23" s="42" t="s">
        <v>450</v>
      </c>
      <c r="H23" s="24" t="s">
        <v>34</v>
      </c>
      <c r="I23" s="24" t="s">
        <v>451</v>
      </c>
      <c r="J23" s="42"/>
      <c r="K23" s="24" t="s">
        <v>429</v>
      </c>
      <c r="L23" s="42" t="s">
        <v>430</v>
      </c>
      <c r="M23" s="24" t="s">
        <v>430</v>
      </c>
      <c r="N23" s="42"/>
      <c r="O23" s="24" t="s">
        <v>452</v>
      </c>
      <c r="P23" s="24" t="s">
        <v>35</v>
      </c>
      <c r="Q23" s="24" t="s">
        <v>453</v>
      </c>
      <c r="R23" s="42"/>
      <c r="S23" s="43" t="str">
        <f>"585,0"</f>
        <v>585,0</v>
      </c>
      <c r="T23" s="44" t="str">
        <f>"347,4315"</f>
        <v>347,4315</v>
      </c>
      <c r="U23" s="23"/>
    </row>
    <row r="24" spans="1:21">
      <c r="A24" s="25" t="s">
        <v>454</v>
      </c>
      <c r="B24" s="26" t="s">
        <v>455</v>
      </c>
      <c r="C24" s="26" t="s">
        <v>456</v>
      </c>
      <c r="D24" s="26" t="str">
        <f>"0,5947"</f>
        <v>0,5947</v>
      </c>
      <c r="E24" s="25" t="s">
        <v>16</v>
      </c>
      <c r="F24" s="25" t="s">
        <v>17</v>
      </c>
      <c r="G24" s="45" t="s">
        <v>445</v>
      </c>
      <c r="H24" s="45" t="s">
        <v>445</v>
      </c>
      <c r="I24" s="26" t="s">
        <v>445</v>
      </c>
      <c r="J24" s="45"/>
      <c r="K24" s="26" t="s">
        <v>18</v>
      </c>
      <c r="L24" s="26" t="s">
        <v>19</v>
      </c>
      <c r="M24" s="45" t="s">
        <v>20</v>
      </c>
      <c r="N24" s="45"/>
      <c r="O24" s="45" t="s">
        <v>444</v>
      </c>
      <c r="P24" s="26" t="s">
        <v>445</v>
      </c>
      <c r="Q24" s="26" t="s">
        <v>34</v>
      </c>
      <c r="R24" s="45"/>
      <c r="S24" s="46" t="str">
        <f>"545,0"</f>
        <v>545,0</v>
      </c>
      <c r="T24" s="47" t="str">
        <f>"324,1115"</f>
        <v>324,1115</v>
      </c>
      <c r="U24" s="25"/>
    </row>
    <row r="26" ht="15.75" spans="1:18">
      <c r="A26" s="21" t="s">
        <v>56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21">
      <c r="A27" s="19" t="s">
        <v>457</v>
      </c>
      <c r="B27" s="20" t="s">
        <v>458</v>
      </c>
      <c r="C27" s="20" t="s">
        <v>459</v>
      </c>
      <c r="D27" s="20" t="str">
        <f>"0,5819"</f>
        <v>0,5819</v>
      </c>
      <c r="E27" s="19" t="s">
        <v>87</v>
      </c>
      <c r="F27" s="19" t="s">
        <v>17</v>
      </c>
      <c r="G27" s="20" t="s">
        <v>429</v>
      </c>
      <c r="H27" s="20" t="s">
        <v>430</v>
      </c>
      <c r="I27" s="20" t="s">
        <v>289</v>
      </c>
      <c r="J27" s="39"/>
      <c r="K27" s="20" t="s">
        <v>132</v>
      </c>
      <c r="L27" s="39" t="s">
        <v>460</v>
      </c>
      <c r="M27" s="39" t="s">
        <v>428</v>
      </c>
      <c r="N27" s="39"/>
      <c r="O27" s="20" t="s">
        <v>19</v>
      </c>
      <c r="P27" s="20" t="s">
        <v>20</v>
      </c>
      <c r="Q27" s="39"/>
      <c r="R27" s="39"/>
      <c r="S27" s="40" t="str">
        <f>"400,0"</f>
        <v>400,0</v>
      </c>
      <c r="T27" s="41" t="str">
        <f>"232,7600"</f>
        <v>232,7600</v>
      </c>
      <c r="U27" s="19" t="s">
        <v>461</v>
      </c>
    </row>
    <row r="29" ht="15.75" spans="1:18">
      <c r="A29" s="21" t="s">
        <v>29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21">
      <c r="A30" s="19" t="s">
        <v>462</v>
      </c>
      <c r="B30" s="20" t="s">
        <v>463</v>
      </c>
      <c r="C30" s="20" t="s">
        <v>464</v>
      </c>
      <c r="D30" s="20" t="str">
        <f>"0,5448"</f>
        <v>0,5448</v>
      </c>
      <c r="E30" s="19" t="s">
        <v>16</v>
      </c>
      <c r="F30" s="19" t="s">
        <v>17</v>
      </c>
      <c r="G30" s="20" t="s">
        <v>444</v>
      </c>
      <c r="H30" s="20" t="s">
        <v>445</v>
      </c>
      <c r="I30" s="20" t="s">
        <v>34</v>
      </c>
      <c r="J30" s="39"/>
      <c r="K30" s="20" t="s">
        <v>18</v>
      </c>
      <c r="L30" s="20" t="s">
        <v>20</v>
      </c>
      <c r="M30" s="20" t="s">
        <v>441</v>
      </c>
      <c r="N30" s="39"/>
      <c r="O30" s="20" t="s">
        <v>451</v>
      </c>
      <c r="P30" s="20" t="s">
        <v>452</v>
      </c>
      <c r="Q30" s="20" t="s">
        <v>35</v>
      </c>
      <c r="R30" s="39"/>
      <c r="S30" s="40" t="str">
        <f>"600,0"</f>
        <v>600,0</v>
      </c>
      <c r="T30" s="41" t="str">
        <f>"326,8800"</f>
        <v>326,8800</v>
      </c>
      <c r="U30" s="19"/>
    </row>
    <row r="32" ht="15.75" spans="1:18">
      <c r="A32" s="21" t="s">
        <v>465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21">
      <c r="A33" s="19" t="s">
        <v>466</v>
      </c>
      <c r="B33" s="20" t="s">
        <v>467</v>
      </c>
      <c r="C33" s="20" t="s">
        <v>468</v>
      </c>
      <c r="D33" s="20" t="str">
        <f>"0,5209"</f>
        <v>0,5209</v>
      </c>
      <c r="E33" s="19" t="s">
        <v>16</v>
      </c>
      <c r="F33" s="19" t="s">
        <v>469</v>
      </c>
      <c r="G33" s="20" t="s">
        <v>470</v>
      </c>
      <c r="H33" s="39" t="s">
        <v>471</v>
      </c>
      <c r="I33" s="39" t="s">
        <v>471</v>
      </c>
      <c r="J33" s="39"/>
      <c r="K33" s="20" t="s">
        <v>20</v>
      </c>
      <c r="L33" s="20" t="s">
        <v>441</v>
      </c>
      <c r="M33" s="20" t="s">
        <v>26</v>
      </c>
      <c r="N33" s="39"/>
      <c r="O33" s="20" t="s">
        <v>472</v>
      </c>
      <c r="P33" s="39" t="s">
        <v>473</v>
      </c>
      <c r="Q33" s="39" t="s">
        <v>473</v>
      </c>
      <c r="R33" s="39"/>
      <c r="S33" s="40" t="str">
        <f>"685,0"</f>
        <v>685,0</v>
      </c>
      <c r="T33" s="41" t="str">
        <f>"356,8165"</f>
        <v>356,8165</v>
      </c>
      <c r="U33" s="19"/>
    </row>
    <row r="35" ht="15.75" spans="5:5">
      <c r="E35" s="27" t="s">
        <v>37</v>
      </c>
    </row>
    <row r="36" ht="15.75" spans="5:5">
      <c r="E36" s="27" t="s">
        <v>38</v>
      </c>
    </row>
    <row r="37" ht="15.75" spans="5:5">
      <c r="E37" s="27" t="s">
        <v>39</v>
      </c>
    </row>
    <row r="38" spans="5:5">
      <c r="E38" s="4" t="s">
        <v>40</v>
      </c>
    </row>
    <row r="39" spans="5:5">
      <c r="E39" s="4" t="s">
        <v>41</v>
      </c>
    </row>
    <row r="40" spans="5:5">
      <c r="E40" s="4" t="s">
        <v>42</v>
      </c>
    </row>
    <row r="43" ht="18.75" spans="1:2">
      <c r="A43" s="28" t="s">
        <v>43</v>
      </c>
      <c r="B43" s="29"/>
    </row>
    <row r="44" ht="15.75" spans="1:2">
      <c r="A44" s="30" t="s">
        <v>77</v>
      </c>
      <c r="B44" s="21"/>
    </row>
    <row r="45" ht="15" spans="1:2">
      <c r="A45" s="31"/>
      <c r="B45" s="32" t="s">
        <v>141</v>
      </c>
    </row>
    <row r="46" ht="14.25" spans="1:5">
      <c r="A46" s="33" t="s">
        <v>1</v>
      </c>
      <c r="B46" s="33" t="s">
        <v>46</v>
      </c>
      <c r="C46" s="33" t="s">
        <v>47</v>
      </c>
      <c r="D46" s="33" t="s">
        <v>474</v>
      </c>
      <c r="E46" s="33" t="s">
        <v>328</v>
      </c>
    </row>
    <row r="47" spans="1:5">
      <c r="A47" s="34" t="s">
        <v>475</v>
      </c>
      <c r="B47" s="3" t="s">
        <v>476</v>
      </c>
      <c r="C47" s="3" t="s">
        <v>477</v>
      </c>
      <c r="D47" s="3" t="s">
        <v>440</v>
      </c>
      <c r="E47" s="5" t="s">
        <v>478</v>
      </c>
    </row>
    <row r="49" ht="15" spans="1:2">
      <c r="A49" s="31"/>
      <c r="B49" s="32" t="s">
        <v>45</v>
      </c>
    </row>
    <row r="50" ht="14.25" spans="1:5">
      <c r="A50" s="33" t="s">
        <v>1</v>
      </c>
      <c r="B50" s="33" t="s">
        <v>46</v>
      </c>
      <c r="C50" s="33" t="s">
        <v>47</v>
      </c>
      <c r="D50" s="33" t="s">
        <v>474</v>
      </c>
      <c r="E50" s="33" t="s">
        <v>328</v>
      </c>
    </row>
    <row r="51" spans="1:5">
      <c r="A51" s="34" t="s">
        <v>479</v>
      </c>
      <c r="B51" s="3" t="s">
        <v>45</v>
      </c>
      <c r="C51" s="3" t="s">
        <v>297</v>
      </c>
      <c r="D51" s="3" t="s">
        <v>471</v>
      </c>
      <c r="E51" s="5" t="s">
        <v>480</v>
      </c>
    </row>
    <row r="52" spans="1:5">
      <c r="A52" s="34" t="s">
        <v>481</v>
      </c>
      <c r="B52" s="3" t="s">
        <v>45</v>
      </c>
      <c r="C52" s="3" t="s">
        <v>297</v>
      </c>
      <c r="D52" s="3" t="s">
        <v>453</v>
      </c>
      <c r="E52" s="5" t="s">
        <v>482</v>
      </c>
    </row>
    <row r="55" ht="15.75" spans="1:2">
      <c r="A55" s="30" t="s">
        <v>44</v>
      </c>
      <c r="B55" s="21"/>
    </row>
    <row r="56" ht="15" spans="1:2">
      <c r="A56" s="31"/>
      <c r="B56" s="32" t="s">
        <v>141</v>
      </c>
    </row>
    <row r="57" ht="14.25" spans="1:5">
      <c r="A57" s="33" t="s">
        <v>1</v>
      </c>
      <c r="B57" s="33" t="s">
        <v>46</v>
      </c>
      <c r="C57" s="33" t="s">
        <v>47</v>
      </c>
      <c r="D57" s="33" t="s">
        <v>474</v>
      </c>
      <c r="E57" s="33" t="s">
        <v>328</v>
      </c>
    </row>
    <row r="58" spans="1:5">
      <c r="A58" s="34" t="s">
        <v>483</v>
      </c>
      <c r="B58" s="3" t="s">
        <v>484</v>
      </c>
      <c r="C58" s="3" t="s">
        <v>53</v>
      </c>
      <c r="D58" s="3" t="s">
        <v>485</v>
      </c>
      <c r="E58" s="5" t="s">
        <v>486</v>
      </c>
    </row>
    <row r="59" spans="1:5">
      <c r="A59" s="34" t="s">
        <v>487</v>
      </c>
      <c r="B59" s="3" t="s">
        <v>476</v>
      </c>
      <c r="C59" s="3" t="s">
        <v>136</v>
      </c>
      <c r="D59" s="3" t="s">
        <v>488</v>
      </c>
      <c r="E59" s="5" t="s">
        <v>489</v>
      </c>
    </row>
    <row r="61" ht="15" spans="1:2">
      <c r="A61" s="31"/>
      <c r="B61" s="32" t="s">
        <v>45</v>
      </c>
    </row>
    <row r="62" ht="14.25" spans="1:5">
      <c r="A62" s="33" t="s">
        <v>1</v>
      </c>
      <c r="B62" s="33" t="s">
        <v>46</v>
      </c>
      <c r="C62" s="33" t="s">
        <v>47</v>
      </c>
      <c r="D62" s="33" t="s">
        <v>474</v>
      </c>
      <c r="E62" s="33" t="s">
        <v>328</v>
      </c>
    </row>
    <row r="63" spans="1:5">
      <c r="A63" s="34" t="s">
        <v>490</v>
      </c>
      <c r="B63" s="3" t="s">
        <v>45</v>
      </c>
      <c r="C63" s="3" t="s">
        <v>491</v>
      </c>
      <c r="D63" s="3" t="s">
        <v>492</v>
      </c>
      <c r="E63" s="5" t="s">
        <v>493</v>
      </c>
    </row>
    <row r="64" spans="1:5">
      <c r="A64" s="34" t="s">
        <v>494</v>
      </c>
      <c r="B64" s="3" t="s">
        <v>45</v>
      </c>
      <c r="C64" s="3" t="s">
        <v>153</v>
      </c>
      <c r="D64" s="3" t="s">
        <v>195</v>
      </c>
      <c r="E64" s="5" t="s">
        <v>495</v>
      </c>
    </row>
    <row r="65" spans="1:5">
      <c r="A65" s="34" t="s">
        <v>496</v>
      </c>
      <c r="B65" s="3" t="s">
        <v>45</v>
      </c>
      <c r="C65" s="3" t="s">
        <v>50</v>
      </c>
      <c r="D65" s="3" t="s">
        <v>497</v>
      </c>
      <c r="E65" s="5" t="s">
        <v>498</v>
      </c>
    </row>
    <row r="66" spans="1:5">
      <c r="A66" s="34" t="s">
        <v>499</v>
      </c>
      <c r="B66" s="3" t="s">
        <v>45</v>
      </c>
      <c r="C66" s="3" t="s">
        <v>153</v>
      </c>
      <c r="D66" s="3" t="s">
        <v>500</v>
      </c>
      <c r="E66" s="5" t="s">
        <v>501</v>
      </c>
    </row>
    <row r="67" spans="1:5">
      <c r="A67" s="34" t="s">
        <v>502</v>
      </c>
      <c r="B67" s="3" t="s">
        <v>45</v>
      </c>
      <c r="C67" s="3" t="s">
        <v>53</v>
      </c>
      <c r="D67" s="3" t="s">
        <v>503</v>
      </c>
      <c r="E67" s="5" t="s">
        <v>504</v>
      </c>
    </row>
    <row r="68" spans="1:5">
      <c r="A68" s="34" t="s">
        <v>505</v>
      </c>
      <c r="B68" s="3" t="s">
        <v>45</v>
      </c>
      <c r="C68" s="3" t="s">
        <v>160</v>
      </c>
      <c r="D68" s="3" t="s">
        <v>506</v>
      </c>
      <c r="E68" s="5" t="s">
        <v>507</v>
      </c>
    </row>
    <row r="69" spans="1:5">
      <c r="A69" s="34" t="s">
        <v>508</v>
      </c>
      <c r="B69" s="3" t="s">
        <v>45</v>
      </c>
      <c r="C69" s="3" t="s">
        <v>64</v>
      </c>
      <c r="D69" s="3" t="s">
        <v>485</v>
      </c>
      <c r="E69" s="5" t="s">
        <v>509</v>
      </c>
    </row>
  </sheetData>
  <mergeCells count="22">
    <mergeCell ref="G3:J3"/>
    <mergeCell ref="K3:N3"/>
    <mergeCell ref="O3:R3"/>
    <mergeCell ref="A5:R5"/>
    <mergeCell ref="A8:R8"/>
    <mergeCell ref="A12:R12"/>
    <mergeCell ref="A15:R15"/>
    <mergeCell ref="A18:R18"/>
    <mergeCell ref="A22:R22"/>
    <mergeCell ref="A26:R26"/>
    <mergeCell ref="A29:R29"/>
    <mergeCell ref="A32:R32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5.8888888888889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23.8888888888889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510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511</v>
      </c>
      <c r="B6" s="20" t="s">
        <v>512</v>
      </c>
      <c r="C6" s="20" t="s">
        <v>513</v>
      </c>
      <c r="D6" s="20" t="str">
        <f>"0,6805"</f>
        <v>0,6805</v>
      </c>
      <c r="E6" s="19" t="s">
        <v>16</v>
      </c>
      <c r="F6" s="19" t="s">
        <v>514</v>
      </c>
      <c r="G6" s="20" t="s">
        <v>228</v>
      </c>
      <c r="H6" s="20" t="s">
        <v>109</v>
      </c>
      <c r="I6" s="20" t="s">
        <v>114</v>
      </c>
      <c r="J6" s="39"/>
      <c r="K6" s="40" t="str">
        <f>"82,5"</f>
        <v>82,5</v>
      </c>
      <c r="L6" s="41" t="str">
        <f>"117,2229"</f>
        <v>117,2229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27" t="s">
        <v>37</v>
      </c>
    </row>
    <row r="9" ht="15.75" spans="5:5">
      <c r="E9" s="27" t="s">
        <v>38</v>
      </c>
    </row>
    <row r="10" ht="15.75" spans="5:5">
      <c r="E10" s="27" t="s">
        <v>39</v>
      </c>
    </row>
    <row r="11" spans="5:5">
      <c r="E11" s="4" t="s">
        <v>40</v>
      </c>
    </row>
    <row r="12" spans="5:5">
      <c r="E12" s="4" t="s">
        <v>41</v>
      </c>
    </row>
    <row r="13" spans="5:5">
      <c r="E13" s="4" t="s">
        <v>42</v>
      </c>
    </row>
    <row r="16" ht="18.75" spans="1:2">
      <c r="A16" s="28" t="s">
        <v>43</v>
      </c>
      <c r="B16" s="29"/>
    </row>
    <row r="17" ht="15.75" spans="1:2">
      <c r="A17" s="30" t="s">
        <v>44</v>
      </c>
      <c r="B17" s="21"/>
    </row>
    <row r="18" ht="15" spans="1:2">
      <c r="A18" s="31"/>
      <c r="B18" s="32" t="s">
        <v>139</v>
      </c>
    </row>
    <row r="19" ht="14.25" spans="1:5">
      <c r="A19" s="33" t="s">
        <v>1</v>
      </c>
      <c r="B19" s="33" t="s">
        <v>46</v>
      </c>
      <c r="C19" s="33" t="s">
        <v>47</v>
      </c>
      <c r="D19" s="33" t="s">
        <v>48</v>
      </c>
      <c r="E19" s="33" t="s">
        <v>328</v>
      </c>
    </row>
    <row r="20" spans="1:5">
      <c r="A20" s="34" t="s">
        <v>515</v>
      </c>
      <c r="B20" s="3" t="s">
        <v>516</v>
      </c>
      <c r="C20" s="3" t="s">
        <v>160</v>
      </c>
      <c r="D20" s="3" t="s">
        <v>114</v>
      </c>
      <c r="E20" s="5" t="s">
        <v>517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24.4444444444444" style="4" customWidth="1"/>
    <col min="6" max="6" width="30.4444444444444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16.4444444444444" style="4" customWidth="1"/>
    <col min="14" max="16384" width="9.11111111111111" style="7"/>
  </cols>
  <sheetData>
    <row r="1" s="1" customFormat="1" ht="28.95" customHeight="1" spans="1:13">
      <c r="A1" s="8" t="s">
        <v>518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71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72</v>
      </c>
      <c r="B6" s="20" t="s">
        <v>73</v>
      </c>
      <c r="C6" s="20" t="s">
        <v>74</v>
      </c>
      <c r="D6" s="20" t="str">
        <f>"1,0388"</f>
        <v>1,0388</v>
      </c>
      <c r="E6" s="19" t="s">
        <v>16</v>
      </c>
      <c r="F6" s="19" t="s">
        <v>17</v>
      </c>
      <c r="G6" s="39" t="s">
        <v>519</v>
      </c>
      <c r="H6" s="39" t="s">
        <v>217</v>
      </c>
      <c r="I6" s="20" t="s">
        <v>217</v>
      </c>
      <c r="J6" s="39"/>
      <c r="K6" s="40" t="str">
        <f>"50,0"</f>
        <v>50,0</v>
      </c>
      <c r="L6" s="41" t="str">
        <f>"51,9400"</f>
        <v>51,9400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520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521</v>
      </c>
      <c r="B9" s="20" t="s">
        <v>522</v>
      </c>
      <c r="C9" s="20" t="s">
        <v>523</v>
      </c>
      <c r="D9" s="20" t="str">
        <f>"0,9167"</f>
        <v>0,9167</v>
      </c>
      <c r="E9" s="19" t="s">
        <v>16</v>
      </c>
      <c r="F9" s="19" t="s">
        <v>17</v>
      </c>
      <c r="G9" s="39" t="s">
        <v>330</v>
      </c>
      <c r="H9" s="20" t="s">
        <v>211</v>
      </c>
      <c r="I9" s="20" t="s">
        <v>341</v>
      </c>
      <c r="J9" s="39"/>
      <c r="K9" s="40" t="str">
        <f>"62,5"</f>
        <v>62,5</v>
      </c>
      <c r="L9" s="41" t="str">
        <f>"57,2938"</f>
        <v>57,2938</v>
      </c>
      <c r="M9" s="19"/>
    </row>
    <row r="11" ht="15.75" spans="1:10">
      <c r="A11" s="21" t="s">
        <v>271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524</v>
      </c>
      <c r="B12" s="20" t="s">
        <v>525</v>
      </c>
      <c r="C12" s="20" t="s">
        <v>526</v>
      </c>
      <c r="D12" s="20" t="str">
        <f>"0,8838"</f>
        <v>0,8838</v>
      </c>
      <c r="E12" s="19" t="s">
        <v>16</v>
      </c>
      <c r="F12" s="19" t="s">
        <v>527</v>
      </c>
      <c r="G12" s="20" t="s">
        <v>331</v>
      </c>
      <c r="H12" s="20" t="s">
        <v>217</v>
      </c>
      <c r="I12" s="39" t="s">
        <v>346</v>
      </c>
      <c r="J12" s="39"/>
      <c r="K12" s="40" t="str">
        <f>"50,0"</f>
        <v>50,0</v>
      </c>
      <c r="L12" s="41" t="str">
        <f>"44,1900"</f>
        <v>44,1900</v>
      </c>
      <c r="M12" s="19"/>
    </row>
    <row r="14" ht="15.75" spans="1:10">
      <c r="A14" s="21" t="s">
        <v>83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3">
      <c r="A15" s="23" t="s">
        <v>84</v>
      </c>
      <c r="B15" s="24" t="s">
        <v>85</v>
      </c>
      <c r="C15" s="24" t="s">
        <v>86</v>
      </c>
      <c r="D15" s="24" t="str">
        <f>"0,8042"</f>
        <v>0,8042</v>
      </c>
      <c r="E15" s="23" t="s">
        <v>87</v>
      </c>
      <c r="F15" s="23" t="s">
        <v>17</v>
      </c>
      <c r="G15" s="24" t="s">
        <v>460</v>
      </c>
      <c r="H15" s="24" t="s">
        <v>191</v>
      </c>
      <c r="I15" s="42" t="s">
        <v>442</v>
      </c>
      <c r="J15" s="42"/>
      <c r="K15" s="43" t="str">
        <f>"107,5"</f>
        <v>107,5</v>
      </c>
      <c r="L15" s="44" t="str">
        <f>"86,4515"</f>
        <v>86,4515</v>
      </c>
      <c r="M15" s="23"/>
    </row>
    <row r="16" spans="1:13">
      <c r="A16" s="25" t="s">
        <v>84</v>
      </c>
      <c r="B16" s="26" t="s">
        <v>528</v>
      </c>
      <c r="C16" s="26" t="s">
        <v>86</v>
      </c>
      <c r="D16" s="26" t="str">
        <f>"0,8042"</f>
        <v>0,8042</v>
      </c>
      <c r="E16" s="25" t="s">
        <v>87</v>
      </c>
      <c r="F16" s="25" t="s">
        <v>17</v>
      </c>
      <c r="G16" s="26" t="s">
        <v>460</v>
      </c>
      <c r="H16" s="26" t="s">
        <v>191</v>
      </c>
      <c r="I16" s="45" t="s">
        <v>442</v>
      </c>
      <c r="J16" s="45"/>
      <c r="K16" s="46" t="str">
        <f>"107,5"</f>
        <v>107,5</v>
      </c>
      <c r="L16" s="47" t="str">
        <f>"86,4515"</f>
        <v>86,4515</v>
      </c>
      <c r="M16" s="25"/>
    </row>
    <row r="18" ht="15.75" spans="1:10">
      <c r="A18" s="21" t="s">
        <v>12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3">
      <c r="A19" s="23" t="s">
        <v>529</v>
      </c>
      <c r="B19" s="24" t="s">
        <v>530</v>
      </c>
      <c r="C19" s="24" t="s">
        <v>531</v>
      </c>
      <c r="D19" s="24" t="str">
        <f>"0,7293"</f>
        <v>0,7293</v>
      </c>
      <c r="E19" s="23" t="s">
        <v>16</v>
      </c>
      <c r="F19" s="23" t="s">
        <v>17</v>
      </c>
      <c r="G19" s="24" t="s">
        <v>417</v>
      </c>
      <c r="H19" s="24" t="s">
        <v>132</v>
      </c>
      <c r="I19" s="42" t="s">
        <v>460</v>
      </c>
      <c r="J19" s="42"/>
      <c r="K19" s="43" t="str">
        <f>"100,0"</f>
        <v>100,0</v>
      </c>
      <c r="L19" s="44" t="str">
        <f>"72,9300"</f>
        <v>72,9300</v>
      </c>
      <c r="M19" s="23" t="s">
        <v>532</v>
      </c>
    </row>
    <row r="20" spans="1:13">
      <c r="A20" s="48" t="s">
        <v>533</v>
      </c>
      <c r="B20" s="49" t="s">
        <v>534</v>
      </c>
      <c r="C20" s="49" t="s">
        <v>535</v>
      </c>
      <c r="D20" s="49" t="str">
        <f>"0,7565"</f>
        <v>0,7565</v>
      </c>
      <c r="E20" s="48" t="s">
        <v>16</v>
      </c>
      <c r="F20" s="48" t="s">
        <v>17</v>
      </c>
      <c r="G20" s="49" t="s">
        <v>330</v>
      </c>
      <c r="H20" s="49" t="s">
        <v>211</v>
      </c>
      <c r="I20" s="50" t="s">
        <v>341</v>
      </c>
      <c r="J20" s="50"/>
      <c r="K20" s="51" t="str">
        <f>"60,0"</f>
        <v>60,0</v>
      </c>
      <c r="L20" s="52" t="str">
        <f>"45,3900"</f>
        <v>45,3900</v>
      </c>
      <c r="M20" s="48"/>
    </row>
    <row r="21" spans="1:13">
      <c r="A21" s="25" t="s">
        <v>529</v>
      </c>
      <c r="B21" s="26" t="s">
        <v>536</v>
      </c>
      <c r="C21" s="26" t="s">
        <v>531</v>
      </c>
      <c r="D21" s="26" t="str">
        <f>"0,7293"</f>
        <v>0,7293</v>
      </c>
      <c r="E21" s="25" t="s">
        <v>16</v>
      </c>
      <c r="F21" s="25" t="s">
        <v>17</v>
      </c>
      <c r="G21" s="26" t="s">
        <v>417</v>
      </c>
      <c r="H21" s="26" t="s">
        <v>132</v>
      </c>
      <c r="I21" s="45" t="s">
        <v>460</v>
      </c>
      <c r="J21" s="45"/>
      <c r="K21" s="46" t="str">
        <f>"100,0"</f>
        <v>100,0</v>
      </c>
      <c r="L21" s="47" t="str">
        <f>"100,6434"</f>
        <v>100,6434</v>
      </c>
      <c r="M21" s="25" t="s">
        <v>532</v>
      </c>
    </row>
    <row r="23" ht="15.75" spans="1:10">
      <c r="A23" s="21" t="s">
        <v>408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3">
      <c r="A24" s="19" t="s">
        <v>537</v>
      </c>
      <c r="B24" s="20" t="s">
        <v>538</v>
      </c>
      <c r="C24" s="20" t="s">
        <v>539</v>
      </c>
      <c r="D24" s="20" t="str">
        <f>"0,9580"</f>
        <v>0,9580</v>
      </c>
      <c r="E24" s="19" t="s">
        <v>16</v>
      </c>
      <c r="F24" s="19" t="s">
        <v>540</v>
      </c>
      <c r="G24" s="20" t="s">
        <v>211</v>
      </c>
      <c r="H24" s="39" t="s">
        <v>88</v>
      </c>
      <c r="I24" s="20" t="s">
        <v>181</v>
      </c>
      <c r="J24" s="39"/>
      <c r="K24" s="40" t="str">
        <f>"70,0"</f>
        <v>70,0</v>
      </c>
      <c r="L24" s="41" t="str">
        <f>"67,0600"</f>
        <v>67,0600</v>
      </c>
      <c r="M24" s="19"/>
    </row>
    <row r="26" ht="15.75" spans="1:10">
      <c r="A26" s="21" t="s">
        <v>520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3">
      <c r="A27" s="19" t="s">
        <v>541</v>
      </c>
      <c r="B27" s="20" t="s">
        <v>542</v>
      </c>
      <c r="C27" s="20" t="s">
        <v>543</v>
      </c>
      <c r="D27" s="20" t="str">
        <f>"0,8888"</f>
        <v>0,8888</v>
      </c>
      <c r="E27" s="19" t="s">
        <v>16</v>
      </c>
      <c r="F27" s="19" t="s">
        <v>544</v>
      </c>
      <c r="G27" s="39" t="s">
        <v>545</v>
      </c>
      <c r="H27" s="39" t="s">
        <v>460</v>
      </c>
      <c r="I27" s="39" t="s">
        <v>460</v>
      </c>
      <c r="J27" s="39"/>
      <c r="K27" s="40" t="str">
        <f>"0.00"</f>
        <v>0.00</v>
      </c>
      <c r="L27" s="41" t="str">
        <f>"0,0000"</f>
        <v>0,0000</v>
      </c>
      <c r="M27" s="19"/>
    </row>
    <row r="29" ht="15.75" spans="1:10">
      <c r="A29" s="21" t="s">
        <v>83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>
      <c r="A30" s="23" t="s">
        <v>546</v>
      </c>
      <c r="B30" s="24" t="s">
        <v>547</v>
      </c>
      <c r="C30" s="24" t="s">
        <v>548</v>
      </c>
      <c r="D30" s="24" t="str">
        <f>"0,7408"</f>
        <v>0,7408</v>
      </c>
      <c r="E30" s="23" t="s">
        <v>16</v>
      </c>
      <c r="F30" s="23" t="s">
        <v>17</v>
      </c>
      <c r="G30" s="24" t="s">
        <v>425</v>
      </c>
      <c r="H30" s="24" t="s">
        <v>282</v>
      </c>
      <c r="I30" s="42" t="s">
        <v>429</v>
      </c>
      <c r="J30" s="42"/>
      <c r="K30" s="43" t="str">
        <f>"120,0"</f>
        <v>120,0</v>
      </c>
      <c r="L30" s="44" t="str">
        <f>"88,8960"</f>
        <v>88,8960</v>
      </c>
      <c r="M30" s="23"/>
    </row>
    <row r="31" spans="1:13">
      <c r="A31" s="48" t="s">
        <v>549</v>
      </c>
      <c r="B31" s="49" t="s">
        <v>550</v>
      </c>
      <c r="C31" s="49" t="s">
        <v>551</v>
      </c>
      <c r="D31" s="49" t="str">
        <f>"0,7591"</f>
        <v>0,7591</v>
      </c>
      <c r="E31" s="48" t="s">
        <v>16</v>
      </c>
      <c r="F31" s="48" t="s">
        <v>17</v>
      </c>
      <c r="G31" s="49" t="s">
        <v>211</v>
      </c>
      <c r="H31" s="49" t="s">
        <v>103</v>
      </c>
      <c r="I31" s="50" t="s">
        <v>228</v>
      </c>
      <c r="J31" s="50"/>
      <c r="K31" s="51" t="str">
        <f>"75,0"</f>
        <v>75,0</v>
      </c>
      <c r="L31" s="52" t="str">
        <f>"56,9325"</f>
        <v>56,9325</v>
      </c>
      <c r="M31" s="48"/>
    </row>
    <row r="32" spans="1:13">
      <c r="A32" s="25" t="s">
        <v>552</v>
      </c>
      <c r="B32" s="26" t="s">
        <v>553</v>
      </c>
      <c r="C32" s="26" t="s">
        <v>554</v>
      </c>
      <c r="D32" s="26" t="str">
        <f>"0,7367"</f>
        <v>0,7367</v>
      </c>
      <c r="E32" s="25" t="s">
        <v>16</v>
      </c>
      <c r="F32" s="25" t="s">
        <v>180</v>
      </c>
      <c r="G32" s="26" t="s">
        <v>126</v>
      </c>
      <c r="H32" s="45" t="s">
        <v>417</v>
      </c>
      <c r="I32" s="26" t="s">
        <v>417</v>
      </c>
      <c r="J32" s="45"/>
      <c r="K32" s="46" t="str">
        <f>"95,0"</f>
        <v>95,0</v>
      </c>
      <c r="L32" s="47" t="str">
        <f>"70,1965"</f>
        <v>70,1965</v>
      </c>
      <c r="M32" s="25"/>
    </row>
    <row r="34" ht="15.75" spans="1:10">
      <c r="A34" s="21" t="s">
        <v>12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3">
      <c r="A35" s="23" t="s">
        <v>555</v>
      </c>
      <c r="B35" s="24" t="s">
        <v>556</v>
      </c>
      <c r="C35" s="24" t="s">
        <v>557</v>
      </c>
      <c r="D35" s="24" t="str">
        <f>"0,6923"</f>
        <v>0,6923</v>
      </c>
      <c r="E35" s="23" t="s">
        <v>16</v>
      </c>
      <c r="F35" s="23" t="s">
        <v>558</v>
      </c>
      <c r="G35" s="24" t="s">
        <v>98</v>
      </c>
      <c r="H35" s="24" t="s">
        <v>228</v>
      </c>
      <c r="I35" s="24" t="s">
        <v>114</v>
      </c>
      <c r="J35" s="42"/>
      <c r="K35" s="43" t="str">
        <f>"82,5"</f>
        <v>82,5</v>
      </c>
      <c r="L35" s="44" t="str">
        <f>"57,1148"</f>
        <v>57,1148</v>
      </c>
      <c r="M35" s="23" t="s">
        <v>559</v>
      </c>
    </row>
    <row r="36" spans="1:13">
      <c r="A36" s="48" t="s">
        <v>560</v>
      </c>
      <c r="B36" s="49" t="s">
        <v>561</v>
      </c>
      <c r="C36" s="49" t="s">
        <v>562</v>
      </c>
      <c r="D36" s="49" t="str">
        <f>"0,6890"</f>
        <v>0,6890</v>
      </c>
      <c r="E36" s="48" t="s">
        <v>16</v>
      </c>
      <c r="F36" s="48" t="s">
        <v>17</v>
      </c>
      <c r="G36" s="49" t="s">
        <v>417</v>
      </c>
      <c r="H36" s="49" t="s">
        <v>132</v>
      </c>
      <c r="I36" s="49" t="s">
        <v>428</v>
      </c>
      <c r="J36" s="50"/>
      <c r="K36" s="51" t="str">
        <f>"105,0"</f>
        <v>105,0</v>
      </c>
      <c r="L36" s="52" t="str">
        <f>"72,3450"</f>
        <v>72,3450</v>
      </c>
      <c r="M36" s="48"/>
    </row>
    <row r="37" spans="1:13">
      <c r="A37" s="48" t="s">
        <v>563</v>
      </c>
      <c r="B37" s="49" t="s">
        <v>564</v>
      </c>
      <c r="C37" s="49" t="s">
        <v>565</v>
      </c>
      <c r="D37" s="49" t="str">
        <f>"0,7128"</f>
        <v>0,7128</v>
      </c>
      <c r="E37" s="48" t="s">
        <v>16</v>
      </c>
      <c r="F37" s="48" t="s">
        <v>17</v>
      </c>
      <c r="G37" s="49" t="s">
        <v>425</v>
      </c>
      <c r="H37" s="49" t="s">
        <v>282</v>
      </c>
      <c r="I37" s="49" t="s">
        <v>429</v>
      </c>
      <c r="J37" s="50"/>
      <c r="K37" s="51" t="str">
        <f>"125,0"</f>
        <v>125,0</v>
      </c>
      <c r="L37" s="52" t="str">
        <f>"89,1000"</f>
        <v>89,1000</v>
      </c>
      <c r="M37" s="48"/>
    </row>
    <row r="38" spans="1:13">
      <c r="A38" s="48" t="s">
        <v>566</v>
      </c>
      <c r="B38" s="49" t="s">
        <v>567</v>
      </c>
      <c r="C38" s="49" t="s">
        <v>568</v>
      </c>
      <c r="D38" s="49" t="str">
        <f>"0,6752"</f>
        <v>0,6752</v>
      </c>
      <c r="E38" s="48" t="s">
        <v>16</v>
      </c>
      <c r="F38" s="48" t="s">
        <v>569</v>
      </c>
      <c r="G38" s="49" t="s">
        <v>281</v>
      </c>
      <c r="H38" s="49" t="s">
        <v>425</v>
      </c>
      <c r="I38" s="50" t="s">
        <v>443</v>
      </c>
      <c r="J38" s="50"/>
      <c r="K38" s="51" t="str">
        <f>"115,0"</f>
        <v>115,0</v>
      </c>
      <c r="L38" s="52" t="str">
        <f>"77,6480"</f>
        <v>77,6480</v>
      </c>
      <c r="M38" s="48"/>
    </row>
    <row r="39" spans="1:13">
      <c r="A39" s="48" t="s">
        <v>570</v>
      </c>
      <c r="B39" s="49" t="s">
        <v>571</v>
      </c>
      <c r="C39" s="49" t="s">
        <v>97</v>
      </c>
      <c r="D39" s="49" t="str">
        <f>"0,6851"</f>
        <v>0,6851</v>
      </c>
      <c r="E39" s="48" t="s">
        <v>16</v>
      </c>
      <c r="F39" s="48" t="s">
        <v>17</v>
      </c>
      <c r="G39" s="49" t="s">
        <v>132</v>
      </c>
      <c r="H39" s="49" t="s">
        <v>281</v>
      </c>
      <c r="I39" s="50" t="s">
        <v>442</v>
      </c>
      <c r="J39" s="50"/>
      <c r="K39" s="51" t="str">
        <f>"110,0"</f>
        <v>110,0</v>
      </c>
      <c r="L39" s="52" t="str">
        <f>"75,3610"</f>
        <v>75,3610</v>
      </c>
      <c r="M39" s="48"/>
    </row>
    <row r="40" spans="1:13">
      <c r="A40" s="48" t="s">
        <v>572</v>
      </c>
      <c r="B40" s="49" t="s">
        <v>343</v>
      </c>
      <c r="C40" s="49" t="s">
        <v>344</v>
      </c>
      <c r="D40" s="49" t="str">
        <f>"0,6708"</f>
        <v>0,6708</v>
      </c>
      <c r="E40" s="48" t="s">
        <v>16</v>
      </c>
      <c r="F40" s="48" t="s">
        <v>345</v>
      </c>
      <c r="G40" s="49" t="s">
        <v>132</v>
      </c>
      <c r="H40" s="50" t="s">
        <v>428</v>
      </c>
      <c r="I40" s="50" t="s">
        <v>428</v>
      </c>
      <c r="J40" s="50"/>
      <c r="K40" s="51" t="str">
        <f>"100,0"</f>
        <v>100,0</v>
      </c>
      <c r="L40" s="52" t="str">
        <f>"67,0800"</f>
        <v>67,0800</v>
      </c>
      <c r="M40" s="48"/>
    </row>
    <row r="41" spans="1:13">
      <c r="A41" s="48" t="s">
        <v>95</v>
      </c>
      <c r="B41" s="49" t="s">
        <v>573</v>
      </c>
      <c r="C41" s="49" t="s">
        <v>97</v>
      </c>
      <c r="D41" s="49" t="str">
        <f>"0,6851"</f>
        <v>0,6851</v>
      </c>
      <c r="E41" s="48" t="s">
        <v>16</v>
      </c>
      <c r="F41" s="48" t="s">
        <v>17</v>
      </c>
      <c r="G41" s="49" t="s">
        <v>132</v>
      </c>
      <c r="H41" s="49" t="s">
        <v>281</v>
      </c>
      <c r="I41" s="50" t="s">
        <v>442</v>
      </c>
      <c r="J41" s="50"/>
      <c r="K41" s="51" t="str">
        <f>"110,0"</f>
        <v>110,0</v>
      </c>
      <c r="L41" s="52" t="str">
        <f>"115,6791"</f>
        <v>115,6791</v>
      </c>
      <c r="M41" s="48"/>
    </row>
    <row r="42" spans="1:13">
      <c r="A42" s="25" t="s">
        <v>511</v>
      </c>
      <c r="B42" s="26" t="s">
        <v>512</v>
      </c>
      <c r="C42" s="26" t="s">
        <v>513</v>
      </c>
      <c r="D42" s="26" t="str">
        <f>"0,6805"</f>
        <v>0,6805</v>
      </c>
      <c r="E42" s="25" t="s">
        <v>16</v>
      </c>
      <c r="F42" s="25" t="s">
        <v>514</v>
      </c>
      <c r="G42" s="26" t="s">
        <v>98</v>
      </c>
      <c r="H42" s="26" t="s">
        <v>228</v>
      </c>
      <c r="I42" s="45" t="s">
        <v>109</v>
      </c>
      <c r="J42" s="45"/>
      <c r="K42" s="46" t="str">
        <f>"77,5"</f>
        <v>77,5</v>
      </c>
      <c r="L42" s="47" t="str">
        <f>"110,1185"</f>
        <v>110,1185</v>
      </c>
      <c r="M42" s="25"/>
    </row>
    <row r="44" ht="15.75" spans="1:10">
      <c r="A44" s="21" t="s">
        <v>21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3">
      <c r="A45" s="23" t="s">
        <v>105</v>
      </c>
      <c r="B45" s="24" t="s">
        <v>574</v>
      </c>
      <c r="C45" s="24" t="s">
        <v>107</v>
      </c>
      <c r="D45" s="24" t="str">
        <f>"0,6358"</f>
        <v>0,6358</v>
      </c>
      <c r="E45" s="23" t="s">
        <v>16</v>
      </c>
      <c r="F45" s="23" t="s">
        <v>108</v>
      </c>
      <c r="G45" s="24" t="s">
        <v>575</v>
      </c>
      <c r="H45" s="42" t="s">
        <v>20</v>
      </c>
      <c r="I45" s="42" t="s">
        <v>20</v>
      </c>
      <c r="J45" s="42"/>
      <c r="K45" s="43" t="str">
        <f>"157,5"</f>
        <v>157,5</v>
      </c>
      <c r="L45" s="44" t="str">
        <f>"100,1385"</f>
        <v>100,1385</v>
      </c>
      <c r="M45" s="23"/>
    </row>
    <row r="46" spans="1:13">
      <c r="A46" s="48" t="s">
        <v>111</v>
      </c>
      <c r="B46" s="49" t="s">
        <v>112</v>
      </c>
      <c r="C46" s="49" t="s">
        <v>113</v>
      </c>
      <c r="D46" s="49" t="str">
        <f>"0,6295"</f>
        <v>0,6295</v>
      </c>
      <c r="E46" s="48" t="s">
        <v>16</v>
      </c>
      <c r="F46" s="48" t="s">
        <v>17</v>
      </c>
      <c r="G46" s="49" t="s">
        <v>18</v>
      </c>
      <c r="H46" s="49" t="s">
        <v>19</v>
      </c>
      <c r="I46" s="50" t="s">
        <v>20</v>
      </c>
      <c r="J46" s="50"/>
      <c r="K46" s="51" t="str">
        <f>"155,0"</f>
        <v>155,0</v>
      </c>
      <c r="L46" s="52" t="str">
        <f>"97,5725"</f>
        <v>97,5725</v>
      </c>
      <c r="M46" s="48"/>
    </row>
    <row r="47" spans="1:13">
      <c r="A47" s="48" t="s">
        <v>357</v>
      </c>
      <c r="B47" s="49" t="s">
        <v>358</v>
      </c>
      <c r="C47" s="49" t="s">
        <v>215</v>
      </c>
      <c r="D47" s="49" t="str">
        <f>"0,6329"</f>
        <v>0,6329</v>
      </c>
      <c r="E47" s="48" t="s">
        <v>16</v>
      </c>
      <c r="F47" s="48" t="s">
        <v>359</v>
      </c>
      <c r="G47" s="49" t="s">
        <v>430</v>
      </c>
      <c r="H47" s="49" t="s">
        <v>576</v>
      </c>
      <c r="I47" s="49" t="s">
        <v>18</v>
      </c>
      <c r="J47" s="50"/>
      <c r="K47" s="51" t="str">
        <f>"150,0"</f>
        <v>150,0</v>
      </c>
      <c r="L47" s="52" t="str">
        <f>"95,7894"</f>
        <v>95,7894</v>
      </c>
      <c r="M47" s="48"/>
    </row>
    <row r="48" spans="1:13">
      <c r="A48" s="25" t="s">
        <v>577</v>
      </c>
      <c r="B48" s="26" t="s">
        <v>578</v>
      </c>
      <c r="C48" s="26" t="s">
        <v>579</v>
      </c>
      <c r="D48" s="26" t="str">
        <f>"0,6257"</f>
        <v>0,6257</v>
      </c>
      <c r="E48" s="25" t="s">
        <v>16</v>
      </c>
      <c r="F48" s="25" t="s">
        <v>17</v>
      </c>
      <c r="G48" s="26" t="s">
        <v>425</v>
      </c>
      <c r="H48" s="26" t="s">
        <v>282</v>
      </c>
      <c r="I48" s="26" t="s">
        <v>580</v>
      </c>
      <c r="J48" s="45"/>
      <c r="K48" s="46" t="str">
        <f>"122,5"</f>
        <v>122,5</v>
      </c>
      <c r="L48" s="47" t="str">
        <f>"85,6161"</f>
        <v>85,6161</v>
      </c>
      <c r="M48" s="25"/>
    </row>
    <row r="50" ht="15.75" spans="1:10">
      <c r="A50" s="21" t="s">
        <v>116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1:13">
      <c r="A51" s="23" t="s">
        <v>581</v>
      </c>
      <c r="B51" s="24" t="s">
        <v>582</v>
      </c>
      <c r="C51" s="24" t="s">
        <v>583</v>
      </c>
      <c r="D51" s="24" t="str">
        <f>"0,5986"</f>
        <v>0,5986</v>
      </c>
      <c r="E51" s="23" t="s">
        <v>16</v>
      </c>
      <c r="F51" s="23" t="s">
        <v>17</v>
      </c>
      <c r="G51" s="24" t="s">
        <v>584</v>
      </c>
      <c r="H51" s="42" t="s">
        <v>545</v>
      </c>
      <c r="I51" s="24" t="s">
        <v>132</v>
      </c>
      <c r="J51" s="42"/>
      <c r="K51" s="43" t="str">
        <f>"100,0"</f>
        <v>100,0</v>
      </c>
      <c r="L51" s="44" t="str">
        <f>"59,8600"</f>
        <v>59,8600</v>
      </c>
      <c r="M51" s="23"/>
    </row>
    <row r="52" spans="1:13">
      <c r="A52" s="48" t="s">
        <v>585</v>
      </c>
      <c r="B52" s="49" t="s">
        <v>586</v>
      </c>
      <c r="C52" s="49" t="s">
        <v>587</v>
      </c>
      <c r="D52" s="49" t="str">
        <f>"0,5969"</f>
        <v>0,5969</v>
      </c>
      <c r="E52" s="48" t="s">
        <v>16</v>
      </c>
      <c r="F52" s="48" t="s">
        <v>17</v>
      </c>
      <c r="G52" s="50" t="s">
        <v>576</v>
      </c>
      <c r="H52" s="49" t="s">
        <v>588</v>
      </c>
      <c r="I52" s="49" t="s">
        <v>19</v>
      </c>
      <c r="J52" s="50"/>
      <c r="K52" s="51" t="str">
        <f>"155,0"</f>
        <v>155,0</v>
      </c>
      <c r="L52" s="52" t="str">
        <f>"92,5195"</f>
        <v>92,5195</v>
      </c>
      <c r="M52" s="48"/>
    </row>
    <row r="53" spans="1:13">
      <c r="A53" s="48" t="s">
        <v>589</v>
      </c>
      <c r="B53" s="49" t="s">
        <v>590</v>
      </c>
      <c r="C53" s="49" t="s">
        <v>591</v>
      </c>
      <c r="D53" s="49" t="str">
        <f>"0,5991"</f>
        <v>0,5991</v>
      </c>
      <c r="E53" s="48" t="s">
        <v>16</v>
      </c>
      <c r="F53" s="48" t="s">
        <v>17</v>
      </c>
      <c r="G53" s="50" t="s">
        <v>429</v>
      </c>
      <c r="H53" s="50" t="s">
        <v>429</v>
      </c>
      <c r="I53" s="50" t="s">
        <v>429</v>
      </c>
      <c r="J53" s="50"/>
      <c r="K53" s="51" t="str">
        <f>"0.00"</f>
        <v>0.00</v>
      </c>
      <c r="L53" s="52" t="str">
        <f>"0,0000"</f>
        <v>0,0000</v>
      </c>
      <c r="M53" s="48"/>
    </row>
    <row r="54" spans="1:13">
      <c r="A54" s="25" t="s">
        <v>592</v>
      </c>
      <c r="B54" s="26" t="s">
        <v>593</v>
      </c>
      <c r="C54" s="26" t="s">
        <v>456</v>
      </c>
      <c r="D54" s="26" t="str">
        <f>"0,5947"</f>
        <v>0,5947</v>
      </c>
      <c r="E54" s="25" t="s">
        <v>190</v>
      </c>
      <c r="F54" s="25" t="s">
        <v>17</v>
      </c>
      <c r="G54" s="26" t="s">
        <v>430</v>
      </c>
      <c r="H54" s="26" t="s">
        <v>289</v>
      </c>
      <c r="I54" s="45" t="s">
        <v>594</v>
      </c>
      <c r="J54" s="45"/>
      <c r="K54" s="46" t="str">
        <f>"140,0"</f>
        <v>140,0</v>
      </c>
      <c r="L54" s="47" t="str">
        <f>"110,7331"</f>
        <v>110,7331</v>
      </c>
      <c r="M54" s="25"/>
    </row>
    <row r="56" ht="15.75" spans="1:10">
      <c r="A56" s="21" t="s">
        <v>56</v>
      </c>
      <c r="B56" s="22"/>
      <c r="C56" s="22"/>
      <c r="D56" s="22"/>
      <c r="E56" s="22"/>
      <c r="F56" s="22"/>
      <c r="G56" s="22"/>
      <c r="H56" s="22"/>
      <c r="I56" s="22"/>
      <c r="J56" s="22"/>
    </row>
    <row r="57" spans="1:13">
      <c r="A57" s="23" t="s">
        <v>595</v>
      </c>
      <c r="B57" s="24" t="s">
        <v>596</v>
      </c>
      <c r="C57" s="24" t="s">
        <v>597</v>
      </c>
      <c r="D57" s="24" t="str">
        <f>"0,5553"</f>
        <v>0,5553</v>
      </c>
      <c r="E57" s="23" t="s">
        <v>16</v>
      </c>
      <c r="F57" s="23" t="s">
        <v>598</v>
      </c>
      <c r="G57" s="24" t="s">
        <v>444</v>
      </c>
      <c r="H57" s="24" t="s">
        <v>28</v>
      </c>
      <c r="I57" s="42" t="s">
        <v>599</v>
      </c>
      <c r="J57" s="42"/>
      <c r="K57" s="43" t="str">
        <f>"185,0"</f>
        <v>185,0</v>
      </c>
      <c r="L57" s="44" t="str">
        <f>"102,7305"</f>
        <v>102,7305</v>
      </c>
      <c r="M57" s="23"/>
    </row>
    <row r="58" spans="1:13">
      <c r="A58" s="48" t="s">
        <v>600</v>
      </c>
      <c r="B58" s="49" t="s">
        <v>601</v>
      </c>
      <c r="C58" s="49" t="s">
        <v>602</v>
      </c>
      <c r="D58" s="49" t="str">
        <f>"0,5591"</f>
        <v>0,5591</v>
      </c>
      <c r="E58" s="48" t="s">
        <v>16</v>
      </c>
      <c r="F58" s="48" t="s">
        <v>603</v>
      </c>
      <c r="G58" s="49" t="s">
        <v>26</v>
      </c>
      <c r="H58" s="49" t="s">
        <v>444</v>
      </c>
      <c r="I58" s="49" t="s">
        <v>28</v>
      </c>
      <c r="J58" s="50"/>
      <c r="K58" s="51" t="str">
        <f>"185,0"</f>
        <v>185,0</v>
      </c>
      <c r="L58" s="52" t="str">
        <f>"103,4335"</f>
        <v>103,4335</v>
      </c>
      <c r="M58" s="48"/>
    </row>
    <row r="59" spans="1:13">
      <c r="A59" s="48" t="s">
        <v>604</v>
      </c>
      <c r="B59" s="49" t="s">
        <v>605</v>
      </c>
      <c r="C59" s="49" t="s">
        <v>597</v>
      </c>
      <c r="D59" s="49" t="str">
        <f>"0,5553"</f>
        <v>0,5553</v>
      </c>
      <c r="E59" s="48" t="s">
        <v>16</v>
      </c>
      <c r="F59" s="48" t="s">
        <v>598</v>
      </c>
      <c r="G59" s="49" t="s">
        <v>444</v>
      </c>
      <c r="H59" s="49" t="s">
        <v>28</v>
      </c>
      <c r="I59" s="50" t="s">
        <v>599</v>
      </c>
      <c r="J59" s="50"/>
      <c r="K59" s="51" t="str">
        <f>"185,0"</f>
        <v>185,0</v>
      </c>
      <c r="L59" s="52" t="str">
        <f>"102,7305"</f>
        <v>102,7305</v>
      </c>
      <c r="M59" s="48"/>
    </row>
    <row r="60" spans="1:13">
      <c r="A60" s="48" t="s">
        <v>606</v>
      </c>
      <c r="B60" s="49" t="s">
        <v>607</v>
      </c>
      <c r="C60" s="49" t="s">
        <v>608</v>
      </c>
      <c r="D60" s="49" t="str">
        <f>"0,5555"</f>
        <v>0,5555</v>
      </c>
      <c r="E60" s="48" t="s">
        <v>449</v>
      </c>
      <c r="F60" s="48" t="s">
        <v>514</v>
      </c>
      <c r="G60" s="49" t="s">
        <v>289</v>
      </c>
      <c r="H60" s="49" t="s">
        <v>609</v>
      </c>
      <c r="I60" s="50" t="s">
        <v>588</v>
      </c>
      <c r="J60" s="50"/>
      <c r="K60" s="51" t="str">
        <f>"147,5"</f>
        <v>147,5</v>
      </c>
      <c r="L60" s="52" t="str">
        <f>"81,9362"</f>
        <v>81,9362</v>
      </c>
      <c r="M60" s="48"/>
    </row>
    <row r="61" spans="1:13">
      <c r="A61" s="48" t="s">
        <v>610</v>
      </c>
      <c r="B61" s="49" t="s">
        <v>611</v>
      </c>
      <c r="C61" s="49" t="s">
        <v>612</v>
      </c>
      <c r="D61" s="49" t="str">
        <f>"0,5616"</f>
        <v>0,5616</v>
      </c>
      <c r="E61" s="48" t="s">
        <v>16</v>
      </c>
      <c r="F61" s="48" t="s">
        <v>613</v>
      </c>
      <c r="G61" s="49" t="s">
        <v>289</v>
      </c>
      <c r="H61" s="49" t="s">
        <v>576</v>
      </c>
      <c r="I61" s="50" t="s">
        <v>18</v>
      </c>
      <c r="J61" s="50"/>
      <c r="K61" s="51" t="str">
        <f>"145,0"</f>
        <v>145,0</v>
      </c>
      <c r="L61" s="52" t="str">
        <f>"88,9237"</f>
        <v>88,9237</v>
      </c>
      <c r="M61" s="48"/>
    </row>
    <row r="62" spans="1:13">
      <c r="A62" s="25" t="s">
        <v>614</v>
      </c>
      <c r="B62" s="26" t="s">
        <v>615</v>
      </c>
      <c r="C62" s="26" t="s">
        <v>616</v>
      </c>
      <c r="D62" s="26" t="str">
        <f>"0,5578"</f>
        <v>0,5578</v>
      </c>
      <c r="E62" s="25" t="s">
        <v>16</v>
      </c>
      <c r="F62" s="25" t="s">
        <v>617</v>
      </c>
      <c r="G62" s="26" t="s">
        <v>594</v>
      </c>
      <c r="H62" s="45" t="s">
        <v>18</v>
      </c>
      <c r="I62" s="45" t="s">
        <v>18</v>
      </c>
      <c r="J62" s="45"/>
      <c r="K62" s="46" t="str">
        <f>"142,5"</f>
        <v>142,5</v>
      </c>
      <c r="L62" s="47" t="str">
        <f>"122,0118"</f>
        <v>122,0118</v>
      </c>
      <c r="M62" s="25"/>
    </row>
    <row r="64" ht="15.75" spans="1:10">
      <c r="A64" s="21" t="s">
        <v>29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3">
      <c r="A65" s="23" t="s">
        <v>618</v>
      </c>
      <c r="B65" s="24" t="s">
        <v>619</v>
      </c>
      <c r="C65" s="24" t="s">
        <v>620</v>
      </c>
      <c r="D65" s="24" t="str">
        <f>"0,5389"</f>
        <v>0,5389</v>
      </c>
      <c r="E65" s="23" t="s">
        <v>16</v>
      </c>
      <c r="F65" s="23" t="s">
        <v>621</v>
      </c>
      <c r="G65" s="42" t="s">
        <v>622</v>
      </c>
      <c r="H65" s="42"/>
      <c r="I65" s="42"/>
      <c r="J65" s="42"/>
      <c r="K65" s="43" t="str">
        <f>"0.00"</f>
        <v>0.00</v>
      </c>
      <c r="L65" s="44" t="str">
        <f>"0,0000"</f>
        <v>0,0000</v>
      </c>
      <c r="M65" s="23"/>
    </row>
    <row r="66" spans="1:13">
      <c r="A66" s="25" t="s">
        <v>623</v>
      </c>
      <c r="B66" s="26" t="s">
        <v>624</v>
      </c>
      <c r="C66" s="26" t="s">
        <v>625</v>
      </c>
      <c r="D66" s="26" t="str">
        <f>"0,5461"</f>
        <v>0,5461</v>
      </c>
      <c r="E66" s="25" t="s">
        <v>626</v>
      </c>
      <c r="F66" s="25" t="s">
        <v>17</v>
      </c>
      <c r="G66" s="26" t="s">
        <v>575</v>
      </c>
      <c r="H66" s="26" t="s">
        <v>20</v>
      </c>
      <c r="I66" s="45"/>
      <c r="J66" s="45"/>
      <c r="K66" s="46" t="str">
        <f>"160,0"</f>
        <v>160,0</v>
      </c>
      <c r="L66" s="47" t="str">
        <f>"105,2007"</f>
        <v>105,2007</v>
      </c>
      <c r="M66" s="25"/>
    </row>
    <row r="68" ht="15.75" spans="1:10">
      <c r="A68" s="21" t="s">
        <v>230</v>
      </c>
      <c r="B68" s="22"/>
      <c r="C68" s="22"/>
      <c r="D68" s="22"/>
      <c r="E68" s="22"/>
      <c r="F68" s="22"/>
      <c r="G68" s="22"/>
      <c r="H68" s="22"/>
      <c r="I68" s="22"/>
      <c r="J68" s="22"/>
    </row>
    <row r="69" spans="1:13">
      <c r="A69" s="23" t="s">
        <v>627</v>
      </c>
      <c r="B69" s="24" t="s">
        <v>628</v>
      </c>
      <c r="C69" s="24" t="s">
        <v>629</v>
      </c>
      <c r="D69" s="24" t="str">
        <f>"0,5348"</f>
        <v>0,5348</v>
      </c>
      <c r="E69" s="23" t="s">
        <v>16</v>
      </c>
      <c r="F69" s="23" t="s">
        <v>540</v>
      </c>
      <c r="G69" s="24" t="s">
        <v>20</v>
      </c>
      <c r="H69" s="42" t="s">
        <v>440</v>
      </c>
      <c r="I69" s="42" t="s">
        <v>440</v>
      </c>
      <c r="J69" s="42"/>
      <c r="K69" s="43" t="str">
        <f>"160,0"</f>
        <v>160,0</v>
      </c>
      <c r="L69" s="44" t="str">
        <f>"89,6753"</f>
        <v>89,6753</v>
      </c>
      <c r="M69" s="23"/>
    </row>
    <row r="70" spans="1:13">
      <c r="A70" s="25" t="s">
        <v>630</v>
      </c>
      <c r="B70" s="26" t="s">
        <v>631</v>
      </c>
      <c r="C70" s="26" t="s">
        <v>632</v>
      </c>
      <c r="D70" s="26" t="str">
        <f>"0,5323"</f>
        <v>0,5323</v>
      </c>
      <c r="E70" s="25" t="s">
        <v>190</v>
      </c>
      <c r="F70" s="25" t="s">
        <v>17</v>
      </c>
      <c r="G70" s="45" t="s">
        <v>289</v>
      </c>
      <c r="H70" s="26" t="s">
        <v>576</v>
      </c>
      <c r="I70" s="45" t="s">
        <v>18</v>
      </c>
      <c r="J70" s="45"/>
      <c r="K70" s="46" t="str">
        <f>"145,0"</f>
        <v>145,0</v>
      </c>
      <c r="L70" s="47" t="str">
        <f>"126,9669"</f>
        <v>126,9669</v>
      </c>
      <c r="M70" s="25"/>
    </row>
    <row r="72" ht="15.75" spans="1:10">
      <c r="A72" s="21" t="s">
        <v>465</v>
      </c>
      <c r="B72" s="22"/>
      <c r="C72" s="22"/>
      <c r="D72" s="22"/>
      <c r="E72" s="22"/>
      <c r="F72" s="22"/>
      <c r="G72" s="22"/>
      <c r="H72" s="22"/>
      <c r="I72" s="22"/>
      <c r="J72" s="22"/>
    </row>
    <row r="73" spans="1:13">
      <c r="A73" s="19" t="s">
        <v>466</v>
      </c>
      <c r="B73" s="20" t="s">
        <v>467</v>
      </c>
      <c r="C73" s="20" t="s">
        <v>468</v>
      </c>
      <c r="D73" s="20" t="str">
        <f>"0,5209"</f>
        <v>0,5209</v>
      </c>
      <c r="E73" s="19" t="s">
        <v>16</v>
      </c>
      <c r="F73" s="19" t="s">
        <v>469</v>
      </c>
      <c r="G73" s="20" t="s">
        <v>20</v>
      </c>
      <c r="H73" s="20" t="s">
        <v>441</v>
      </c>
      <c r="I73" s="20" t="s">
        <v>26</v>
      </c>
      <c r="J73" s="39"/>
      <c r="K73" s="40" t="str">
        <f>"175,0"</f>
        <v>175,0</v>
      </c>
      <c r="L73" s="41" t="str">
        <f>"91,1575"</f>
        <v>91,1575</v>
      </c>
      <c r="M73" s="19"/>
    </row>
    <row r="75" ht="15.75" spans="5:5">
      <c r="E75" s="27" t="s">
        <v>37</v>
      </c>
    </row>
    <row r="76" ht="15.75" spans="5:5">
      <c r="E76" s="27" t="s">
        <v>38</v>
      </c>
    </row>
    <row r="77" ht="15.75" spans="5:5">
      <c r="E77" s="27" t="s">
        <v>39</v>
      </c>
    </row>
    <row r="78" spans="5:5">
      <c r="E78" s="4" t="s">
        <v>40</v>
      </c>
    </row>
    <row r="79" spans="5:5">
      <c r="E79" s="4" t="s">
        <v>41</v>
      </c>
    </row>
    <row r="80" spans="5:5">
      <c r="E80" s="4" t="s">
        <v>42</v>
      </c>
    </row>
    <row r="83" ht="18.75" spans="1:2">
      <c r="A83" s="28" t="s">
        <v>43</v>
      </c>
      <c r="B83" s="29"/>
    </row>
    <row r="84" ht="15.75" spans="1:2">
      <c r="A84" s="30" t="s">
        <v>77</v>
      </c>
      <c r="B84" s="21"/>
    </row>
    <row r="85" ht="15" spans="1:2">
      <c r="A85" s="31"/>
      <c r="B85" s="32" t="s">
        <v>141</v>
      </c>
    </row>
    <row r="86" ht="14.25" spans="1:5">
      <c r="A86" s="33" t="s">
        <v>1</v>
      </c>
      <c r="B86" s="33" t="s">
        <v>46</v>
      </c>
      <c r="C86" s="33" t="s">
        <v>47</v>
      </c>
      <c r="D86" s="33" t="s">
        <v>48</v>
      </c>
      <c r="E86" s="33" t="s">
        <v>328</v>
      </c>
    </row>
    <row r="87" spans="1:5">
      <c r="A87" s="34" t="s">
        <v>633</v>
      </c>
      <c r="B87" s="3" t="s">
        <v>484</v>
      </c>
      <c r="C87" s="3" t="s">
        <v>297</v>
      </c>
      <c r="D87" s="3" t="s">
        <v>217</v>
      </c>
      <c r="E87" s="5" t="s">
        <v>634</v>
      </c>
    </row>
    <row r="89" ht="15" spans="1:2">
      <c r="A89" s="31"/>
      <c r="B89" s="32" t="s">
        <v>45</v>
      </c>
    </row>
    <row r="90" ht="14.25" spans="1:5">
      <c r="A90" s="33" t="s">
        <v>1</v>
      </c>
      <c r="B90" s="33" t="s">
        <v>46</v>
      </c>
      <c r="C90" s="33" t="s">
        <v>47</v>
      </c>
      <c r="D90" s="33" t="s">
        <v>48</v>
      </c>
      <c r="E90" s="33" t="s">
        <v>328</v>
      </c>
    </row>
    <row r="91" spans="1:5">
      <c r="A91" s="34" t="s">
        <v>135</v>
      </c>
      <c r="B91" s="3" t="s">
        <v>45</v>
      </c>
      <c r="C91" s="3" t="s">
        <v>136</v>
      </c>
      <c r="D91" s="3" t="s">
        <v>191</v>
      </c>
      <c r="E91" s="5" t="s">
        <v>635</v>
      </c>
    </row>
    <row r="92" spans="1:5">
      <c r="A92" s="34" t="s">
        <v>636</v>
      </c>
      <c r="B92" s="3" t="s">
        <v>45</v>
      </c>
      <c r="C92" s="3" t="s">
        <v>160</v>
      </c>
      <c r="D92" s="3" t="s">
        <v>132</v>
      </c>
      <c r="E92" s="5" t="s">
        <v>637</v>
      </c>
    </row>
    <row r="93" spans="1:5">
      <c r="A93" s="34" t="s">
        <v>638</v>
      </c>
      <c r="B93" s="3" t="s">
        <v>45</v>
      </c>
      <c r="C93" s="3" t="s">
        <v>639</v>
      </c>
      <c r="D93" s="3" t="s">
        <v>341</v>
      </c>
      <c r="E93" s="5" t="s">
        <v>640</v>
      </c>
    </row>
    <row r="94" spans="1:5">
      <c r="A94" s="34" t="s">
        <v>78</v>
      </c>
      <c r="B94" s="3" t="s">
        <v>45</v>
      </c>
      <c r="C94" s="3" t="s">
        <v>79</v>
      </c>
      <c r="D94" s="3" t="s">
        <v>217</v>
      </c>
      <c r="E94" s="5" t="s">
        <v>641</v>
      </c>
    </row>
    <row r="95" spans="1:5">
      <c r="A95" s="34" t="s">
        <v>642</v>
      </c>
      <c r="B95" s="3" t="s">
        <v>45</v>
      </c>
      <c r="C95" s="3" t="s">
        <v>160</v>
      </c>
      <c r="D95" s="3" t="s">
        <v>211</v>
      </c>
      <c r="E95" s="5" t="s">
        <v>643</v>
      </c>
    </row>
    <row r="97" ht="15" spans="1:2">
      <c r="A97" s="31"/>
      <c r="B97" s="32" t="s">
        <v>139</v>
      </c>
    </row>
    <row r="98" ht="14.25" spans="1:5">
      <c r="A98" s="33" t="s">
        <v>1</v>
      </c>
      <c r="B98" s="33" t="s">
        <v>46</v>
      </c>
      <c r="C98" s="33" t="s">
        <v>47</v>
      </c>
      <c r="D98" s="33" t="s">
        <v>48</v>
      </c>
      <c r="E98" s="33" t="s">
        <v>328</v>
      </c>
    </row>
    <row r="99" spans="1:5">
      <c r="A99" s="34" t="s">
        <v>636</v>
      </c>
      <c r="B99" s="3" t="s">
        <v>241</v>
      </c>
      <c r="C99" s="3" t="s">
        <v>160</v>
      </c>
      <c r="D99" s="3" t="s">
        <v>132</v>
      </c>
      <c r="E99" s="5" t="s">
        <v>644</v>
      </c>
    </row>
    <row r="100" spans="1:5">
      <c r="A100" s="34" t="s">
        <v>135</v>
      </c>
      <c r="B100" s="3" t="s">
        <v>246</v>
      </c>
      <c r="C100" s="3" t="s">
        <v>136</v>
      </c>
      <c r="D100" s="3" t="s">
        <v>191</v>
      </c>
      <c r="E100" s="5" t="s">
        <v>635</v>
      </c>
    </row>
    <row r="103" ht="15.75" spans="1:2">
      <c r="A103" s="30" t="s">
        <v>44</v>
      </c>
      <c r="B103" s="21"/>
    </row>
    <row r="104" ht="15" spans="1:2">
      <c r="A104" s="31"/>
      <c r="B104" s="32" t="s">
        <v>141</v>
      </c>
    </row>
    <row r="105" ht="14.25" spans="1:5">
      <c r="A105" s="33" t="s">
        <v>1</v>
      </c>
      <c r="B105" s="33" t="s">
        <v>46</v>
      </c>
      <c r="C105" s="33" t="s">
        <v>47</v>
      </c>
      <c r="D105" s="33" t="s">
        <v>48</v>
      </c>
      <c r="E105" s="33" t="s">
        <v>328</v>
      </c>
    </row>
    <row r="106" spans="1:5">
      <c r="A106" s="34" t="s">
        <v>645</v>
      </c>
      <c r="B106" s="3" t="s">
        <v>484</v>
      </c>
      <c r="C106" s="3" t="s">
        <v>64</v>
      </c>
      <c r="D106" s="3" t="s">
        <v>28</v>
      </c>
      <c r="E106" s="5" t="s">
        <v>646</v>
      </c>
    </row>
    <row r="107" spans="1:5">
      <c r="A107" s="34" t="s">
        <v>142</v>
      </c>
      <c r="B107" s="3" t="s">
        <v>647</v>
      </c>
      <c r="C107" s="3" t="s">
        <v>53</v>
      </c>
      <c r="D107" s="3" t="s">
        <v>575</v>
      </c>
      <c r="E107" s="5" t="s">
        <v>648</v>
      </c>
    </row>
    <row r="108" spans="1:5">
      <c r="A108" s="34" t="s">
        <v>649</v>
      </c>
      <c r="B108" s="3" t="s">
        <v>484</v>
      </c>
      <c r="C108" s="3" t="s">
        <v>160</v>
      </c>
      <c r="D108" s="3" t="s">
        <v>428</v>
      </c>
      <c r="E108" s="5" t="s">
        <v>650</v>
      </c>
    </row>
    <row r="109" spans="1:5">
      <c r="A109" s="34" t="s">
        <v>651</v>
      </c>
      <c r="B109" s="3" t="s">
        <v>484</v>
      </c>
      <c r="C109" s="3" t="s">
        <v>477</v>
      </c>
      <c r="D109" s="3" t="s">
        <v>181</v>
      </c>
      <c r="E109" s="5" t="s">
        <v>652</v>
      </c>
    </row>
    <row r="110" spans="1:5">
      <c r="A110" s="34" t="s">
        <v>653</v>
      </c>
      <c r="B110" s="3" t="s">
        <v>647</v>
      </c>
      <c r="C110" s="3" t="s">
        <v>153</v>
      </c>
      <c r="D110" s="3" t="s">
        <v>132</v>
      </c>
      <c r="E110" s="5" t="s">
        <v>654</v>
      </c>
    </row>
    <row r="111" spans="1:5">
      <c r="A111" s="34" t="s">
        <v>655</v>
      </c>
      <c r="B111" s="3" t="s">
        <v>476</v>
      </c>
      <c r="C111" s="3" t="s">
        <v>160</v>
      </c>
      <c r="D111" s="3" t="s">
        <v>114</v>
      </c>
      <c r="E111" s="5" t="s">
        <v>656</v>
      </c>
    </row>
    <row r="113" ht="15" spans="1:2">
      <c r="A113" s="31"/>
      <c r="B113" s="32" t="s">
        <v>45</v>
      </c>
    </row>
    <row r="114" ht="14.25" spans="1:5">
      <c r="A114" s="33" t="s">
        <v>1</v>
      </c>
      <c r="B114" s="33" t="s">
        <v>46</v>
      </c>
      <c r="C114" s="33" t="s">
        <v>47</v>
      </c>
      <c r="D114" s="33" t="s">
        <v>48</v>
      </c>
      <c r="E114" s="33" t="s">
        <v>328</v>
      </c>
    </row>
    <row r="115" spans="1:5">
      <c r="A115" s="34" t="s">
        <v>657</v>
      </c>
      <c r="B115" s="3" t="s">
        <v>45</v>
      </c>
      <c r="C115" s="3" t="s">
        <v>64</v>
      </c>
      <c r="D115" s="3" t="s">
        <v>28</v>
      </c>
      <c r="E115" s="5" t="s">
        <v>658</v>
      </c>
    </row>
    <row r="116" spans="1:5">
      <c r="A116" s="34" t="s">
        <v>645</v>
      </c>
      <c r="B116" s="3" t="s">
        <v>45</v>
      </c>
      <c r="C116" s="3" t="s">
        <v>64</v>
      </c>
      <c r="D116" s="3" t="s">
        <v>28</v>
      </c>
      <c r="E116" s="5" t="s">
        <v>646</v>
      </c>
    </row>
    <row r="117" spans="1:5">
      <c r="A117" s="34" t="s">
        <v>149</v>
      </c>
      <c r="B117" s="3" t="s">
        <v>45</v>
      </c>
      <c r="C117" s="3" t="s">
        <v>53</v>
      </c>
      <c r="D117" s="3" t="s">
        <v>19</v>
      </c>
      <c r="E117" s="5" t="s">
        <v>659</v>
      </c>
    </row>
    <row r="118" spans="1:5">
      <c r="A118" s="34" t="s">
        <v>660</v>
      </c>
      <c r="B118" s="3" t="s">
        <v>45</v>
      </c>
      <c r="C118" s="3" t="s">
        <v>153</v>
      </c>
      <c r="D118" s="3" t="s">
        <v>19</v>
      </c>
      <c r="E118" s="5" t="s">
        <v>661</v>
      </c>
    </row>
    <row r="119" spans="1:5">
      <c r="A119" s="34" t="s">
        <v>490</v>
      </c>
      <c r="B119" s="3" t="s">
        <v>45</v>
      </c>
      <c r="C119" s="3" t="s">
        <v>491</v>
      </c>
      <c r="D119" s="3" t="s">
        <v>26</v>
      </c>
      <c r="E119" s="5" t="s">
        <v>662</v>
      </c>
    </row>
    <row r="120" spans="1:5">
      <c r="A120" s="34" t="s">
        <v>663</v>
      </c>
      <c r="B120" s="3" t="s">
        <v>45</v>
      </c>
      <c r="C120" s="3" t="s">
        <v>160</v>
      </c>
      <c r="D120" s="3" t="s">
        <v>429</v>
      </c>
      <c r="E120" s="5" t="s">
        <v>664</v>
      </c>
    </row>
    <row r="121" spans="1:5">
      <c r="A121" s="34" t="s">
        <v>665</v>
      </c>
      <c r="B121" s="3" t="s">
        <v>45</v>
      </c>
      <c r="C121" s="3" t="s">
        <v>136</v>
      </c>
      <c r="D121" s="3" t="s">
        <v>282</v>
      </c>
      <c r="E121" s="5" t="s">
        <v>666</v>
      </c>
    </row>
    <row r="122" spans="1:5">
      <c r="A122" s="34" t="s">
        <v>667</v>
      </c>
      <c r="B122" s="3" t="s">
        <v>45</v>
      </c>
      <c r="C122" s="3" t="s">
        <v>64</v>
      </c>
      <c r="D122" s="3" t="s">
        <v>609</v>
      </c>
      <c r="E122" s="5" t="s">
        <v>668</v>
      </c>
    </row>
    <row r="123" spans="1:5">
      <c r="A123" s="34" t="s">
        <v>669</v>
      </c>
      <c r="B123" s="3" t="s">
        <v>45</v>
      </c>
      <c r="C123" s="3" t="s">
        <v>160</v>
      </c>
      <c r="D123" s="3" t="s">
        <v>425</v>
      </c>
      <c r="E123" s="5" t="s">
        <v>670</v>
      </c>
    </row>
    <row r="124" spans="1:5">
      <c r="A124" s="34" t="s">
        <v>158</v>
      </c>
      <c r="B124" s="3" t="s">
        <v>45</v>
      </c>
      <c r="C124" s="3" t="s">
        <v>160</v>
      </c>
      <c r="D124" s="3" t="s">
        <v>281</v>
      </c>
      <c r="E124" s="5" t="s">
        <v>671</v>
      </c>
    </row>
    <row r="125" spans="1:5">
      <c r="A125" s="34" t="s">
        <v>382</v>
      </c>
      <c r="B125" s="3" t="s">
        <v>45</v>
      </c>
      <c r="C125" s="3" t="s">
        <v>160</v>
      </c>
      <c r="D125" s="3" t="s">
        <v>132</v>
      </c>
      <c r="E125" s="5" t="s">
        <v>672</v>
      </c>
    </row>
    <row r="126" spans="1:5">
      <c r="A126" s="34" t="s">
        <v>673</v>
      </c>
      <c r="B126" s="3" t="s">
        <v>45</v>
      </c>
      <c r="C126" s="3" t="s">
        <v>136</v>
      </c>
      <c r="D126" s="3" t="s">
        <v>103</v>
      </c>
      <c r="E126" s="5" t="s">
        <v>674</v>
      </c>
    </row>
    <row r="128" ht="15" spans="1:2">
      <c r="A128" s="31"/>
      <c r="B128" s="32" t="s">
        <v>139</v>
      </c>
    </row>
    <row r="129" ht="14.25" spans="1:5">
      <c r="A129" s="33" t="s">
        <v>1</v>
      </c>
      <c r="B129" s="33" t="s">
        <v>46</v>
      </c>
      <c r="C129" s="33" t="s">
        <v>47</v>
      </c>
      <c r="D129" s="33" t="s">
        <v>48</v>
      </c>
      <c r="E129" s="33" t="s">
        <v>328</v>
      </c>
    </row>
    <row r="130" spans="1:5">
      <c r="A130" s="34" t="s">
        <v>675</v>
      </c>
      <c r="B130" s="3" t="s">
        <v>238</v>
      </c>
      <c r="C130" s="3" t="s">
        <v>261</v>
      </c>
      <c r="D130" s="3" t="s">
        <v>576</v>
      </c>
      <c r="E130" s="5" t="s">
        <v>676</v>
      </c>
    </row>
    <row r="131" spans="1:5">
      <c r="A131" s="34" t="s">
        <v>677</v>
      </c>
      <c r="B131" s="3" t="s">
        <v>241</v>
      </c>
      <c r="C131" s="3" t="s">
        <v>64</v>
      </c>
      <c r="D131" s="3" t="s">
        <v>594</v>
      </c>
      <c r="E131" s="5" t="s">
        <v>678</v>
      </c>
    </row>
    <row r="132" spans="1:5">
      <c r="A132" s="34" t="s">
        <v>158</v>
      </c>
      <c r="B132" s="3" t="s">
        <v>241</v>
      </c>
      <c r="C132" s="3" t="s">
        <v>160</v>
      </c>
      <c r="D132" s="3" t="s">
        <v>281</v>
      </c>
      <c r="E132" s="5" t="s">
        <v>679</v>
      </c>
    </row>
    <row r="133" spans="1:5">
      <c r="A133" s="34" t="s">
        <v>680</v>
      </c>
      <c r="B133" s="3" t="s">
        <v>681</v>
      </c>
      <c r="C133" s="3" t="s">
        <v>153</v>
      </c>
      <c r="D133" s="3" t="s">
        <v>289</v>
      </c>
      <c r="E133" s="5" t="s">
        <v>682</v>
      </c>
    </row>
    <row r="134" spans="1:5">
      <c r="A134" s="34" t="s">
        <v>515</v>
      </c>
      <c r="B134" s="3" t="s">
        <v>516</v>
      </c>
      <c r="C134" s="3" t="s">
        <v>160</v>
      </c>
      <c r="D134" s="3" t="s">
        <v>228</v>
      </c>
      <c r="E134" s="5" t="s">
        <v>683</v>
      </c>
    </row>
    <row r="135" spans="1:5">
      <c r="A135" s="34" t="s">
        <v>684</v>
      </c>
      <c r="B135" s="3" t="s">
        <v>681</v>
      </c>
      <c r="C135" s="3" t="s">
        <v>50</v>
      </c>
      <c r="D135" s="3" t="s">
        <v>20</v>
      </c>
      <c r="E135" s="5" t="s">
        <v>685</v>
      </c>
    </row>
    <row r="136" spans="1:5">
      <c r="A136" s="34" t="s">
        <v>384</v>
      </c>
      <c r="B136" s="3" t="s">
        <v>246</v>
      </c>
      <c r="C136" s="3" t="s">
        <v>53</v>
      </c>
      <c r="D136" s="3" t="s">
        <v>18</v>
      </c>
      <c r="E136" s="5" t="s">
        <v>686</v>
      </c>
    </row>
    <row r="137" spans="1:5">
      <c r="A137" s="34" t="s">
        <v>687</v>
      </c>
      <c r="B137" s="3" t="s">
        <v>244</v>
      </c>
      <c r="C137" s="3" t="s">
        <v>261</v>
      </c>
      <c r="D137" s="3" t="s">
        <v>20</v>
      </c>
      <c r="E137" s="5" t="s">
        <v>688</v>
      </c>
    </row>
    <row r="138" spans="1:5">
      <c r="A138" s="34" t="s">
        <v>689</v>
      </c>
      <c r="B138" s="3" t="s">
        <v>244</v>
      </c>
      <c r="C138" s="3" t="s">
        <v>64</v>
      </c>
      <c r="D138" s="3" t="s">
        <v>576</v>
      </c>
      <c r="E138" s="5" t="s">
        <v>690</v>
      </c>
    </row>
    <row r="139" spans="1:5">
      <c r="A139" s="34" t="s">
        <v>691</v>
      </c>
      <c r="B139" s="3" t="s">
        <v>244</v>
      </c>
      <c r="C139" s="3" t="s">
        <v>53</v>
      </c>
      <c r="D139" s="3" t="s">
        <v>580</v>
      </c>
      <c r="E139" s="5" t="s">
        <v>692</v>
      </c>
    </row>
    <row r="140" spans="1:5">
      <c r="A140" s="34" t="s">
        <v>693</v>
      </c>
      <c r="B140" s="3" t="s">
        <v>246</v>
      </c>
      <c r="C140" s="3" t="s">
        <v>136</v>
      </c>
      <c r="D140" s="3" t="s">
        <v>417</v>
      </c>
      <c r="E140" s="5" t="s">
        <v>694</v>
      </c>
    </row>
  </sheetData>
  <mergeCells count="26">
    <mergeCell ref="G3:J3"/>
    <mergeCell ref="A5:J5"/>
    <mergeCell ref="A8:J8"/>
    <mergeCell ref="A11:J11"/>
    <mergeCell ref="A14:J14"/>
    <mergeCell ref="A18:J18"/>
    <mergeCell ref="A23:J23"/>
    <mergeCell ref="A26:J26"/>
    <mergeCell ref="A29:J29"/>
    <mergeCell ref="A34:J34"/>
    <mergeCell ref="A44:J44"/>
    <mergeCell ref="A50:J50"/>
    <mergeCell ref="A56:J56"/>
    <mergeCell ref="A64:J64"/>
    <mergeCell ref="A68:J68"/>
    <mergeCell ref="A72:J7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9.3333333333333" style="4" customWidth="1"/>
    <col min="7" max="8" width="5.55555555555556" style="3" customWidth="1"/>
    <col min="9" max="9" width="2.11111111111111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695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406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520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277</v>
      </c>
      <c r="B6" s="20" t="s">
        <v>278</v>
      </c>
      <c r="C6" s="20" t="s">
        <v>279</v>
      </c>
      <c r="D6" s="20" t="str">
        <f>"0,9670"</f>
        <v>0,9670</v>
      </c>
      <c r="E6" s="19" t="s">
        <v>280</v>
      </c>
      <c r="F6" s="19" t="s">
        <v>216</v>
      </c>
      <c r="G6" s="20" t="s">
        <v>18</v>
      </c>
      <c r="H6" s="20" t="s">
        <v>575</v>
      </c>
      <c r="I6" s="39"/>
      <c r="J6" s="39"/>
      <c r="K6" s="40" t="str">
        <f>"157,5"</f>
        <v>157,5</v>
      </c>
      <c r="L6" s="41" t="str">
        <f>"152,3025"</f>
        <v>152,3025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27" t="s">
        <v>37</v>
      </c>
    </row>
    <row r="9" ht="15.75" spans="5:5">
      <c r="E9" s="27" t="s">
        <v>38</v>
      </c>
    </row>
    <row r="10" ht="15.75" spans="5:5">
      <c r="E10" s="27" t="s">
        <v>39</v>
      </c>
    </row>
    <row r="11" spans="5:5">
      <c r="E11" s="4" t="s">
        <v>40</v>
      </c>
    </row>
    <row r="12" spans="5:5">
      <c r="E12" s="4" t="s">
        <v>41</v>
      </c>
    </row>
    <row r="13" spans="5:5">
      <c r="E13" s="4" t="s">
        <v>42</v>
      </c>
    </row>
    <row r="16" ht="18.75" spans="1:2">
      <c r="A16" s="28" t="s">
        <v>43</v>
      </c>
      <c r="B16" s="29"/>
    </row>
    <row r="17" ht="15.75" spans="1:2">
      <c r="A17" s="30" t="s">
        <v>77</v>
      </c>
      <c r="B17" s="21"/>
    </row>
    <row r="18" ht="15" spans="1:2">
      <c r="A18" s="31"/>
      <c r="B18" s="32" t="s">
        <v>45</v>
      </c>
    </row>
    <row r="19" ht="14.25" spans="1:5">
      <c r="A19" s="33" t="s">
        <v>1</v>
      </c>
      <c r="B19" s="33" t="s">
        <v>46</v>
      </c>
      <c r="C19" s="33" t="s">
        <v>47</v>
      </c>
      <c r="D19" s="33" t="s">
        <v>48</v>
      </c>
      <c r="E19" s="33" t="s">
        <v>328</v>
      </c>
    </row>
    <row r="20" spans="1:5">
      <c r="A20" s="34" t="s">
        <v>299</v>
      </c>
      <c r="B20" s="3" t="s">
        <v>45</v>
      </c>
      <c r="C20" s="3" t="s">
        <v>639</v>
      </c>
      <c r="D20" s="3" t="s">
        <v>575</v>
      </c>
      <c r="E20" s="5" t="s">
        <v>696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31.1111111111111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13.3333333333333" style="4" customWidth="1"/>
    <col min="14" max="16384" width="9.11111111111111" style="7"/>
  </cols>
  <sheetData>
    <row r="1" s="1" customFormat="1" ht="28.95" customHeight="1" spans="1:13">
      <c r="A1" s="8" t="s">
        <v>697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406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408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698</v>
      </c>
      <c r="B6" s="20" t="s">
        <v>699</v>
      </c>
      <c r="C6" s="20" t="s">
        <v>700</v>
      </c>
      <c r="D6" s="20" t="str">
        <f>"1,0000"</f>
        <v>1,0000</v>
      </c>
      <c r="E6" s="19" t="s">
        <v>280</v>
      </c>
      <c r="F6" s="19" t="s">
        <v>216</v>
      </c>
      <c r="G6" s="20" t="s">
        <v>519</v>
      </c>
      <c r="H6" s="20" t="s">
        <v>223</v>
      </c>
      <c r="I6" s="39" t="s">
        <v>211</v>
      </c>
      <c r="J6" s="39"/>
      <c r="K6" s="40" t="str">
        <f>"55,0"</f>
        <v>55,0</v>
      </c>
      <c r="L6" s="41" t="str">
        <f>"55,0000"</f>
        <v>55,0000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271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414</v>
      </c>
      <c r="B9" s="20" t="s">
        <v>415</v>
      </c>
      <c r="C9" s="20" t="s">
        <v>416</v>
      </c>
      <c r="D9" s="20" t="str">
        <f>"0,8851"</f>
        <v>0,8851</v>
      </c>
      <c r="E9" s="19" t="s">
        <v>16</v>
      </c>
      <c r="F9" s="19" t="s">
        <v>17</v>
      </c>
      <c r="G9" s="20" t="s">
        <v>282</v>
      </c>
      <c r="H9" s="20" t="s">
        <v>283</v>
      </c>
      <c r="I9" s="39" t="s">
        <v>418</v>
      </c>
      <c r="J9" s="39"/>
      <c r="K9" s="40" t="str">
        <f>"130,0"</f>
        <v>130,0</v>
      </c>
      <c r="L9" s="41" t="str">
        <f>"115,0630"</f>
        <v>115,0630</v>
      </c>
      <c r="M9" s="19"/>
    </row>
    <row r="11" ht="15.75" spans="1:10">
      <c r="A11" s="21" t="s">
        <v>83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701</v>
      </c>
      <c r="B12" s="20" t="s">
        <v>702</v>
      </c>
      <c r="C12" s="20" t="s">
        <v>703</v>
      </c>
      <c r="D12" s="20" t="str">
        <f>"0,8269"</f>
        <v>0,8269</v>
      </c>
      <c r="E12" s="19" t="s">
        <v>16</v>
      </c>
      <c r="F12" s="19" t="s">
        <v>17</v>
      </c>
      <c r="G12" s="39" t="s">
        <v>429</v>
      </c>
      <c r="H12" s="20" t="s">
        <v>429</v>
      </c>
      <c r="I12" s="20" t="s">
        <v>609</v>
      </c>
      <c r="J12" s="39"/>
      <c r="K12" s="40" t="str">
        <f>"147,5"</f>
        <v>147,5</v>
      </c>
      <c r="L12" s="41" t="str">
        <f>"121,9678"</f>
        <v>121,9678</v>
      </c>
      <c r="M12" s="19"/>
    </row>
    <row r="14" ht="15.75" spans="1:10">
      <c r="A14" s="21" t="s">
        <v>12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3">
      <c r="A15" s="23" t="s">
        <v>704</v>
      </c>
      <c r="B15" s="24" t="s">
        <v>567</v>
      </c>
      <c r="C15" s="24" t="s">
        <v>568</v>
      </c>
      <c r="D15" s="24" t="str">
        <f>"0,6752"</f>
        <v>0,6752</v>
      </c>
      <c r="E15" s="23" t="s">
        <v>16</v>
      </c>
      <c r="F15" s="23" t="s">
        <v>569</v>
      </c>
      <c r="G15" s="24" t="s">
        <v>19</v>
      </c>
      <c r="H15" s="24" t="s">
        <v>441</v>
      </c>
      <c r="I15" s="24" t="s">
        <v>705</v>
      </c>
      <c r="J15" s="42"/>
      <c r="K15" s="43" t="str">
        <f>"177,5"</f>
        <v>177,5</v>
      </c>
      <c r="L15" s="44" t="str">
        <f>"119,8480"</f>
        <v>119,8480</v>
      </c>
      <c r="M15" s="23"/>
    </row>
    <row r="16" spans="1:13">
      <c r="A16" s="25" t="s">
        <v>99</v>
      </c>
      <c r="B16" s="26" t="s">
        <v>219</v>
      </c>
      <c r="C16" s="26" t="s">
        <v>101</v>
      </c>
      <c r="D16" s="26" t="str">
        <f>"0,6694"</f>
        <v>0,6694</v>
      </c>
      <c r="E16" s="25" t="s">
        <v>16</v>
      </c>
      <c r="F16" s="25" t="s">
        <v>102</v>
      </c>
      <c r="G16" s="26" t="s">
        <v>283</v>
      </c>
      <c r="H16" s="26" t="s">
        <v>289</v>
      </c>
      <c r="I16" s="45" t="s">
        <v>576</v>
      </c>
      <c r="J16" s="45"/>
      <c r="K16" s="46" t="str">
        <f>"140,0"</f>
        <v>140,0</v>
      </c>
      <c r="L16" s="47" t="str">
        <f>"174,7803"</f>
        <v>174,7803</v>
      </c>
      <c r="M16" s="25"/>
    </row>
    <row r="18" ht="15.75" spans="1:10">
      <c r="A18" s="21" t="s">
        <v>21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3">
      <c r="A19" s="19" t="s">
        <v>706</v>
      </c>
      <c r="B19" s="20" t="s">
        <v>707</v>
      </c>
      <c r="C19" s="20" t="s">
        <v>295</v>
      </c>
      <c r="D19" s="20" t="str">
        <f>"0,6424"</f>
        <v>0,6424</v>
      </c>
      <c r="E19" s="19" t="s">
        <v>16</v>
      </c>
      <c r="F19" s="19" t="s">
        <v>708</v>
      </c>
      <c r="G19" s="20" t="s">
        <v>444</v>
      </c>
      <c r="H19" s="20" t="s">
        <v>34</v>
      </c>
      <c r="I19" s="39" t="s">
        <v>452</v>
      </c>
      <c r="J19" s="39"/>
      <c r="K19" s="40" t="str">
        <f>"200,0"</f>
        <v>200,0</v>
      </c>
      <c r="L19" s="41" t="str">
        <f>"128,4800"</f>
        <v>128,4800</v>
      </c>
      <c r="M19" s="19"/>
    </row>
    <row r="21" ht="15.75" spans="1:10">
      <c r="A21" s="21" t="s">
        <v>56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3">
      <c r="A22" s="23" t="s">
        <v>709</v>
      </c>
      <c r="B22" s="24" t="s">
        <v>710</v>
      </c>
      <c r="C22" s="24" t="s">
        <v>711</v>
      </c>
      <c r="D22" s="24" t="str">
        <f>"0,5636"</f>
        <v>0,5636</v>
      </c>
      <c r="E22" s="23" t="s">
        <v>16</v>
      </c>
      <c r="F22" s="23" t="s">
        <v>17</v>
      </c>
      <c r="G22" s="42" t="s">
        <v>34</v>
      </c>
      <c r="H22" s="42" t="s">
        <v>712</v>
      </c>
      <c r="I22" s="42" t="s">
        <v>712</v>
      </c>
      <c r="J22" s="42"/>
      <c r="K22" s="43" t="str">
        <f>"0.00"</f>
        <v>0.00</v>
      </c>
      <c r="L22" s="44" t="str">
        <f>"0,0000"</f>
        <v>0,0000</v>
      </c>
      <c r="M22" s="23" t="s">
        <v>713</v>
      </c>
    </row>
    <row r="23" spans="1:13">
      <c r="A23" s="25" t="s">
        <v>714</v>
      </c>
      <c r="B23" s="26" t="s">
        <v>715</v>
      </c>
      <c r="C23" s="26" t="s">
        <v>716</v>
      </c>
      <c r="D23" s="26" t="str">
        <f>"0,5627"</f>
        <v>0,5627</v>
      </c>
      <c r="E23" s="25" t="s">
        <v>16</v>
      </c>
      <c r="F23" s="25" t="s">
        <v>17</v>
      </c>
      <c r="G23" s="26" t="s">
        <v>717</v>
      </c>
      <c r="H23" s="26" t="s">
        <v>451</v>
      </c>
      <c r="I23" s="45" t="s">
        <v>718</v>
      </c>
      <c r="J23" s="45"/>
      <c r="K23" s="46" t="str">
        <f>"210,0"</f>
        <v>210,0</v>
      </c>
      <c r="L23" s="47" t="str">
        <f>"118,1670"</f>
        <v>118,1670</v>
      </c>
      <c r="M23" s="25"/>
    </row>
    <row r="25" ht="15.75" spans="1:10">
      <c r="A25" s="21" t="s">
        <v>230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3">
      <c r="A26" s="23" t="s">
        <v>719</v>
      </c>
      <c r="B26" s="24" t="s">
        <v>720</v>
      </c>
      <c r="C26" s="24" t="s">
        <v>721</v>
      </c>
      <c r="D26" s="24" t="str">
        <f>"0,5353"</f>
        <v>0,5353</v>
      </c>
      <c r="E26" s="23" t="s">
        <v>280</v>
      </c>
      <c r="F26" s="23" t="s">
        <v>216</v>
      </c>
      <c r="G26" s="24" t="s">
        <v>473</v>
      </c>
      <c r="H26" s="24" t="s">
        <v>722</v>
      </c>
      <c r="I26" s="24" t="s">
        <v>723</v>
      </c>
      <c r="J26" s="42"/>
      <c r="K26" s="43" t="str">
        <f>"270,0"</f>
        <v>270,0</v>
      </c>
      <c r="L26" s="44" t="str">
        <f>"144,5310"</f>
        <v>144,5310</v>
      </c>
      <c r="M26" s="23"/>
    </row>
    <row r="27" spans="1:13">
      <c r="A27" s="48" t="s">
        <v>719</v>
      </c>
      <c r="B27" s="49" t="s">
        <v>553</v>
      </c>
      <c r="C27" s="49" t="s">
        <v>721</v>
      </c>
      <c r="D27" s="49" t="str">
        <f>"0,5353"</f>
        <v>0,5353</v>
      </c>
      <c r="E27" s="48" t="s">
        <v>280</v>
      </c>
      <c r="F27" s="48" t="s">
        <v>216</v>
      </c>
      <c r="G27" s="49" t="s">
        <v>473</v>
      </c>
      <c r="H27" s="49" t="s">
        <v>722</v>
      </c>
      <c r="I27" s="49" t="s">
        <v>723</v>
      </c>
      <c r="J27" s="50"/>
      <c r="K27" s="51" t="str">
        <f>"270,0"</f>
        <v>270,0</v>
      </c>
      <c r="L27" s="52" t="str">
        <f>"144,9646"</f>
        <v>144,9646</v>
      </c>
      <c r="M27" s="48"/>
    </row>
    <row r="28" spans="1:13">
      <c r="A28" s="25" t="s">
        <v>255</v>
      </c>
      <c r="B28" s="26" t="s">
        <v>232</v>
      </c>
      <c r="C28" s="26" t="s">
        <v>233</v>
      </c>
      <c r="D28" s="26" t="str">
        <f>"0,5272"</f>
        <v>0,5272</v>
      </c>
      <c r="E28" s="25" t="s">
        <v>16</v>
      </c>
      <c r="F28" s="25" t="s">
        <v>17</v>
      </c>
      <c r="G28" s="26" t="s">
        <v>444</v>
      </c>
      <c r="H28" s="26" t="s">
        <v>445</v>
      </c>
      <c r="I28" s="26" t="s">
        <v>724</v>
      </c>
      <c r="J28" s="45"/>
      <c r="K28" s="46" t="str">
        <f>"202,5"</f>
        <v>202,5</v>
      </c>
      <c r="L28" s="47" t="str">
        <f>"210,3133"</f>
        <v>210,3133</v>
      </c>
      <c r="M28" s="25"/>
    </row>
    <row r="30" ht="15.75" spans="1:10">
      <c r="A30" s="21" t="s">
        <v>465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3">
      <c r="A31" s="19" t="s">
        <v>466</v>
      </c>
      <c r="B31" s="20" t="s">
        <v>467</v>
      </c>
      <c r="C31" s="20" t="s">
        <v>468</v>
      </c>
      <c r="D31" s="20" t="str">
        <f>"0,5209"</f>
        <v>0,5209</v>
      </c>
      <c r="E31" s="19" t="s">
        <v>16</v>
      </c>
      <c r="F31" s="19" t="s">
        <v>469</v>
      </c>
      <c r="G31" s="20" t="s">
        <v>472</v>
      </c>
      <c r="H31" s="39" t="s">
        <v>473</v>
      </c>
      <c r="I31" s="39" t="s">
        <v>473</v>
      </c>
      <c r="J31" s="39"/>
      <c r="K31" s="40" t="str">
        <f>"250,0"</f>
        <v>250,0</v>
      </c>
      <c r="L31" s="41" t="str">
        <f>"130,2250"</f>
        <v>130,2250</v>
      </c>
      <c r="M31" s="19"/>
    </row>
    <row r="33" ht="15.75" spans="5:5">
      <c r="E33" s="27" t="s">
        <v>37</v>
      </c>
    </row>
    <row r="34" ht="15.75" spans="5:5">
      <c r="E34" s="27" t="s">
        <v>38</v>
      </c>
    </row>
    <row r="35" ht="15.75" spans="5:5">
      <c r="E35" s="27" t="s">
        <v>39</v>
      </c>
    </row>
    <row r="36" spans="5:5">
      <c r="E36" s="4" t="s">
        <v>40</v>
      </c>
    </row>
    <row r="37" spans="5:5">
      <c r="E37" s="4" t="s">
        <v>41</v>
      </c>
    </row>
    <row r="38" spans="5:5">
      <c r="E38" s="4" t="s">
        <v>42</v>
      </c>
    </row>
    <row r="41" ht="18.75" spans="1:2">
      <c r="A41" s="28" t="s">
        <v>43</v>
      </c>
      <c r="B41" s="29"/>
    </row>
    <row r="42" ht="15.75" spans="1:2">
      <c r="A42" s="30" t="s">
        <v>77</v>
      </c>
      <c r="B42" s="21"/>
    </row>
    <row r="43" ht="15" spans="1:2">
      <c r="A43" s="31"/>
      <c r="B43" s="32" t="s">
        <v>370</v>
      </c>
    </row>
    <row r="44" ht="14.25" spans="1:5">
      <c r="A44" s="33" t="s">
        <v>1</v>
      </c>
      <c r="B44" s="33" t="s">
        <v>46</v>
      </c>
      <c r="C44" s="33" t="s">
        <v>47</v>
      </c>
      <c r="D44" s="33" t="s">
        <v>48</v>
      </c>
      <c r="E44" s="33" t="s">
        <v>328</v>
      </c>
    </row>
    <row r="45" spans="1:5">
      <c r="A45" s="34" t="s">
        <v>725</v>
      </c>
      <c r="B45" s="3" t="s">
        <v>372</v>
      </c>
      <c r="C45" s="3" t="s">
        <v>477</v>
      </c>
      <c r="D45" s="3" t="s">
        <v>223</v>
      </c>
      <c r="E45" s="5" t="s">
        <v>726</v>
      </c>
    </row>
    <row r="47" ht="15" spans="1:2">
      <c r="A47" s="31"/>
      <c r="B47" s="32" t="s">
        <v>45</v>
      </c>
    </row>
    <row r="48" ht="14.25" spans="1:5">
      <c r="A48" s="33" t="s">
        <v>1</v>
      </c>
      <c r="B48" s="33" t="s">
        <v>46</v>
      </c>
      <c r="C48" s="33" t="s">
        <v>47</v>
      </c>
      <c r="D48" s="33" t="s">
        <v>48</v>
      </c>
      <c r="E48" s="33" t="s">
        <v>328</v>
      </c>
    </row>
    <row r="49" spans="1:5">
      <c r="A49" s="34" t="s">
        <v>479</v>
      </c>
      <c r="B49" s="3" t="s">
        <v>45</v>
      </c>
      <c r="C49" s="3" t="s">
        <v>297</v>
      </c>
      <c r="D49" s="3" t="s">
        <v>283</v>
      </c>
      <c r="E49" s="5" t="s">
        <v>727</v>
      </c>
    </row>
    <row r="51" ht="15" spans="1:2">
      <c r="A51" s="31"/>
      <c r="B51" s="32" t="s">
        <v>139</v>
      </c>
    </row>
    <row r="52" ht="14.25" spans="1:5">
      <c r="A52" s="33" t="s">
        <v>1</v>
      </c>
      <c r="B52" s="33" t="s">
        <v>46</v>
      </c>
      <c r="C52" s="33" t="s">
        <v>47</v>
      </c>
      <c r="D52" s="33" t="s">
        <v>48</v>
      </c>
      <c r="E52" s="33" t="s">
        <v>328</v>
      </c>
    </row>
    <row r="53" spans="1:5">
      <c r="A53" s="34" t="s">
        <v>728</v>
      </c>
      <c r="B53" s="3" t="s">
        <v>246</v>
      </c>
      <c r="C53" s="3" t="s">
        <v>136</v>
      </c>
      <c r="D53" s="3" t="s">
        <v>609</v>
      </c>
      <c r="E53" s="5" t="s">
        <v>729</v>
      </c>
    </row>
    <row r="56" ht="15.75" spans="1:2">
      <c r="A56" s="30" t="s">
        <v>44</v>
      </c>
      <c r="B56" s="21"/>
    </row>
    <row r="57" ht="15" spans="1:2">
      <c r="A57" s="31"/>
      <c r="B57" s="32" t="s">
        <v>45</v>
      </c>
    </row>
    <row r="58" ht="14.25" spans="1:5">
      <c r="A58" s="33" t="s">
        <v>1</v>
      </c>
      <c r="B58" s="33" t="s">
        <v>46</v>
      </c>
      <c r="C58" s="33" t="s">
        <v>47</v>
      </c>
      <c r="D58" s="33" t="s">
        <v>48</v>
      </c>
      <c r="E58" s="33" t="s">
        <v>328</v>
      </c>
    </row>
    <row r="59" spans="1:5">
      <c r="A59" s="34" t="s">
        <v>730</v>
      </c>
      <c r="B59" s="3" t="s">
        <v>45</v>
      </c>
      <c r="C59" s="3" t="s">
        <v>261</v>
      </c>
      <c r="D59" s="3" t="s">
        <v>723</v>
      </c>
      <c r="E59" s="5" t="s">
        <v>731</v>
      </c>
    </row>
    <row r="60" spans="1:5">
      <c r="A60" s="34" t="s">
        <v>490</v>
      </c>
      <c r="B60" s="3" t="s">
        <v>45</v>
      </c>
      <c r="C60" s="3" t="s">
        <v>491</v>
      </c>
      <c r="D60" s="3" t="s">
        <v>472</v>
      </c>
      <c r="E60" s="5" t="s">
        <v>732</v>
      </c>
    </row>
    <row r="61" spans="1:5">
      <c r="A61" s="34" t="s">
        <v>733</v>
      </c>
      <c r="B61" s="3" t="s">
        <v>45</v>
      </c>
      <c r="C61" s="3" t="s">
        <v>53</v>
      </c>
      <c r="D61" s="3" t="s">
        <v>34</v>
      </c>
      <c r="E61" s="5" t="s">
        <v>734</v>
      </c>
    </row>
    <row r="62" spans="1:5">
      <c r="A62" s="34" t="s">
        <v>669</v>
      </c>
      <c r="B62" s="3" t="s">
        <v>45</v>
      </c>
      <c r="C62" s="3" t="s">
        <v>160</v>
      </c>
      <c r="D62" s="3" t="s">
        <v>705</v>
      </c>
      <c r="E62" s="5" t="s">
        <v>735</v>
      </c>
    </row>
    <row r="63" spans="1:5">
      <c r="A63" s="34" t="s">
        <v>736</v>
      </c>
      <c r="B63" s="3" t="s">
        <v>45</v>
      </c>
      <c r="C63" s="3" t="s">
        <v>64</v>
      </c>
      <c r="D63" s="3" t="s">
        <v>451</v>
      </c>
      <c r="E63" s="5" t="s">
        <v>737</v>
      </c>
    </row>
    <row r="65" ht="15" spans="1:2">
      <c r="A65" s="31"/>
      <c r="B65" s="32" t="s">
        <v>139</v>
      </c>
    </row>
    <row r="66" ht="14.25" spans="1:5">
      <c r="A66" s="33" t="s">
        <v>1</v>
      </c>
      <c r="B66" s="33" t="s">
        <v>46</v>
      </c>
      <c r="C66" s="33" t="s">
        <v>47</v>
      </c>
      <c r="D66" s="33" t="s">
        <v>48</v>
      </c>
      <c r="E66" s="33" t="s">
        <v>328</v>
      </c>
    </row>
    <row r="67" spans="1:5">
      <c r="A67" s="34" t="s">
        <v>259</v>
      </c>
      <c r="B67" s="3" t="s">
        <v>260</v>
      </c>
      <c r="C67" s="3" t="s">
        <v>261</v>
      </c>
      <c r="D67" s="3" t="s">
        <v>724</v>
      </c>
      <c r="E67" s="5" t="s">
        <v>738</v>
      </c>
    </row>
    <row r="68" spans="1:5">
      <c r="A68" s="34" t="s">
        <v>167</v>
      </c>
      <c r="B68" s="3" t="s">
        <v>238</v>
      </c>
      <c r="C68" s="3" t="s">
        <v>160</v>
      </c>
      <c r="D68" s="3" t="s">
        <v>289</v>
      </c>
      <c r="E68" s="5" t="s">
        <v>739</v>
      </c>
    </row>
    <row r="69" spans="1:5">
      <c r="A69" s="34" t="s">
        <v>730</v>
      </c>
      <c r="B69" s="3" t="s">
        <v>246</v>
      </c>
      <c r="C69" s="3" t="s">
        <v>261</v>
      </c>
      <c r="D69" s="3" t="s">
        <v>723</v>
      </c>
      <c r="E69" s="5" t="s">
        <v>740</v>
      </c>
    </row>
  </sheetData>
  <mergeCells count="19">
    <mergeCell ref="G3:J3"/>
    <mergeCell ref="A5:J5"/>
    <mergeCell ref="A8:J8"/>
    <mergeCell ref="A11:J11"/>
    <mergeCell ref="A14:J14"/>
    <mergeCell ref="A18:J18"/>
    <mergeCell ref="A21:J21"/>
    <mergeCell ref="A25:J25"/>
    <mergeCell ref="A30:J30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M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9.2222222222222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56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57</v>
      </c>
      <c r="B6" s="20" t="s">
        <v>58</v>
      </c>
      <c r="C6" s="20" t="s">
        <v>59</v>
      </c>
      <c r="D6" s="20" t="str">
        <f>"0,5840"</f>
        <v>0,5840</v>
      </c>
      <c r="E6" s="19" t="s">
        <v>16</v>
      </c>
      <c r="F6" s="19" t="s">
        <v>60</v>
      </c>
      <c r="G6" s="20" t="s">
        <v>61</v>
      </c>
      <c r="H6" s="39" t="s">
        <v>62</v>
      </c>
      <c r="I6" s="39" t="s">
        <v>62</v>
      </c>
      <c r="J6" s="39"/>
      <c r="K6" s="40" t="str">
        <f>"312,5"</f>
        <v>312,5</v>
      </c>
      <c r="L6" s="41" t="str">
        <f>"182,5156"</f>
        <v>182,5156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27" t="s">
        <v>37</v>
      </c>
    </row>
    <row r="9" ht="15.75" spans="5:5">
      <c r="E9" s="27" t="s">
        <v>38</v>
      </c>
    </row>
    <row r="10" ht="15.75" spans="5:5">
      <c r="E10" s="27" t="s">
        <v>39</v>
      </c>
    </row>
    <row r="11" spans="5:5">
      <c r="E11" s="4" t="s">
        <v>40</v>
      </c>
    </row>
    <row r="12" spans="5:5">
      <c r="E12" s="4" t="s">
        <v>41</v>
      </c>
    </row>
    <row r="13" spans="5:5">
      <c r="E13" s="4" t="s">
        <v>42</v>
      </c>
    </row>
    <row r="16" ht="18.75" spans="1:2">
      <c r="A16" s="28" t="s">
        <v>43</v>
      </c>
      <c r="B16" s="29"/>
    </row>
    <row r="17" ht="15.75" spans="1:2">
      <c r="A17" s="30" t="s">
        <v>44</v>
      </c>
      <c r="B17" s="21"/>
    </row>
    <row r="18" ht="15" spans="1:2">
      <c r="A18" s="31"/>
      <c r="B18" s="32" t="s">
        <v>45</v>
      </c>
    </row>
    <row r="19" ht="14.25" spans="1:5">
      <c r="A19" s="33" t="s">
        <v>1</v>
      </c>
      <c r="B19" s="33" t="s">
        <v>46</v>
      </c>
      <c r="C19" s="33" t="s">
        <v>47</v>
      </c>
      <c r="D19" s="33" t="s">
        <v>48</v>
      </c>
      <c r="E19" s="33" t="s">
        <v>4</v>
      </c>
    </row>
    <row r="20" spans="1:5">
      <c r="A20" s="34" t="s">
        <v>63</v>
      </c>
      <c r="B20" s="3" t="s">
        <v>45</v>
      </c>
      <c r="C20" s="3" t="s">
        <v>64</v>
      </c>
      <c r="D20" s="3" t="s">
        <v>61</v>
      </c>
      <c r="E20" s="5" t="s">
        <v>65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3.8888888888889" style="4" customWidth="1"/>
    <col min="7" max="9" width="4.55555555555556" style="3" customWidth="1"/>
    <col min="10" max="10" width="5.55555555555556" style="3" customWidth="1"/>
    <col min="11" max="13" width="4.55555555555556" style="3" customWidth="1"/>
    <col min="14" max="14" width="4.77777777777778" style="3" customWidth="1"/>
    <col min="15" max="17" width="4.55555555555556" style="3" customWidth="1"/>
    <col min="18" max="18" width="5.55555555555556" style="3" customWidth="1"/>
    <col min="19" max="19" width="5.77777777777778" style="5" customWidth="1"/>
    <col min="20" max="20" width="8.55555555555556" style="6" customWidth="1"/>
    <col min="21" max="21" width="14.6666666666667" style="4" customWidth="1"/>
    <col min="22" max="16384" width="9.11111111111111" style="7"/>
  </cols>
  <sheetData>
    <row r="1" s="1" customFormat="1" ht="28.95" customHeight="1" spans="1:21">
      <c r="A1" s="8" t="s">
        <v>741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5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6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405</v>
      </c>
      <c r="H3" s="14"/>
      <c r="I3" s="14"/>
      <c r="J3" s="14"/>
      <c r="K3" s="14" t="s">
        <v>7</v>
      </c>
      <c r="L3" s="14"/>
      <c r="M3" s="14"/>
      <c r="N3" s="14"/>
      <c r="O3" s="14" t="s">
        <v>406</v>
      </c>
      <c r="P3" s="14"/>
      <c r="Q3" s="14"/>
      <c r="R3" s="14"/>
      <c r="S3" s="14" t="s">
        <v>407</v>
      </c>
      <c r="T3" s="14" t="s">
        <v>9</v>
      </c>
      <c r="U3" s="37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>
        <v>1</v>
      </c>
      <c r="L4" s="16">
        <v>2</v>
      </c>
      <c r="M4" s="16">
        <v>3</v>
      </c>
      <c r="N4" s="16" t="s">
        <v>11</v>
      </c>
      <c r="O4" s="16">
        <v>1</v>
      </c>
      <c r="P4" s="16">
        <v>2</v>
      </c>
      <c r="Q4" s="16">
        <v>3</v>
      </c>
      <c r="R4" s="16" t="s">
        <v>11</v>
      </c>
      <c r="S4" s="16"/>
      <c r="T4" s="16"/>
      <c r="U4" s="38"/>
    </row>
    <row r="5" s="3" customFormat="1" ht="15.75" spans="1:21">
      <c r="A5" s="17" t="s">
        <v>520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19" t="s">
        <v>742</v>
      </c>
      <c r="B6" s="20" t="s">
        <v>743</v>
      </c>
      <c r="C6" s="20" t="s">
        <v>744</v>
      </c>
      <c r="D6" s="20" t="str">
        <f>"0,9277"</f>
        <v>0,9277</v>
      </c>
      <c r="E6" s="19" t="s">
        <v>280</v>
      </c>
      <c r="F6" s="19" t="s">
        <v>17</v>
      </c>
      <c r="G6" s="20" t="s">
        <v>120</v>
      </c>
      <c r="H6" s="20" t="s">
        <v>126</v>
      </c>
      <c r="I6" s="20" t="s">
        <v>417</v>
      </c>
      <c r="J6" s="20" t="s">
        <v>132</v>
      </c>
      <c r="K6" s="20" t="s">
        <v>413</v>
      </c>
      <c r="L6" s="20" t="s">
        <v>276</v>
      </c>
      <c r="M6" s="39" t="s">
        <v>745</v>
      </c>
      <c r="N6" s="39"/>
      <c r="O6" s="20" t="s">
        <v>229</v>
      </c>
      <c r="P6" s="20" t="s">
        <v>584</v>
      </c>
      <c r="Q6" s="20" t="s">
        <v>545</v>
      </c>
      <c r="R6" s="20" t="s">
        <v>132</v>
      </c>
      <c r="S6" s="40" t="str">
        <f>"232,5"</f>
        <v>232,5</v>
      </c>
      <c r="T6" s="41" t="str">
        <f>"215,6902"</f>
        <v>215,6902</v>
      </c>
      <c r="U6" s="19" t="s">
        <v>746</v>
      </c>
    </row>
    <row r="7" s="3" customFormat="1" spans="1:21">
      <c r="A7" s="4"/>
      <c r="E7" s="4"/>
      <c r="F7" s="4"/>
      <c r="S7" s="5"/>
      <c r="T7" s="6"/>
      <c r="U7" s="4"/>
    </row>
    <row r="8" ht="15.75" spans="5:5">
      <c r="E8" s="27" t="s">
        <v>37</v>
      </c>
    </row>
    <row r="9" ht="15.75" spans="5:5">
      <c r="E9" s="27" t="s">
        <v>38</v>
      </c>
    </row>
    <row r="10" ht="15.75" spans="5:5">
      <c r="E10" s="27" t="s">
        <v>39</v>
      </c>
    </row>
    <row r="11" spans="5:5">
      <c r="E11" s="4" t="s">
        <v>40</v>
      </c>
    </row>
    <row r="12" spans="5:5">
      <c r="E12" s="4" t="s">
        <v>41</v>
      </c>
    </row>
    <row r="13" spans="5:5">
      <c r="E13" s="4" t="s">
        <v>42</v>
      </c>
    </row>
    <row r="16" ht="18.75" spans="1:2">
      <c r="A16" s="28" t="s">
        <v>43</v>
      </c>
      <c r="B16" s="29"/>
    </row>
    <row r="17" ht="15.75" spans="1:2">
      <c r="A17" s="30" t="s">
        <v>77</v>
      </c>
      <c r="B17" s="21"/>
    </row>
    <row r="18" ht="15" spans="1:2">
      <c r="A18" s="31"/>
      <c r="B18" s="32" t="s">
        <v>45</v>
      </c>
    </row>
    <row r="19" ht="14.25" spans="1:5">
      <c r="A19" s="33" t="s">
        <v>1</v>
      </c>
      <c r="B19" s="33" t="s">
        <v>46</v>
      </c>
      <c r="C19" s="33" t="s">
        <v>47</v>
      </c>
      <c r="D19" s="33" t="s">
        <v>474</v>
      </c>
      <c r="E19" s="33" t="s">
        <v>328</v>
      </c>
    </row>
    <row r="20" spans="1:5">
      <c r="A20" s="34" t="s">
        <v>747</v>
      </c>
      <c r="B20" s="3" t="s">
        <v>45</v>
      </c>
      <c r="C20" s="3" t="s">
        <v>639</v>
      </c>
      <c r="D20" s="3" t="s">
        <v>712</v>
      </c>
      <c r="E20" s="5" t="s">
        <v>748</v>
      </c>
    </row>
  </sheetData>
  <mergeCells count="14">
    <mergeCell ref="G3:J3"/>
    <mergeCell ref="K3:N3"/>
    <mergeCell ref="O3:R3"/>
    <mergeCell ref="A5:R5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7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30.4444444444444" style="3" customWidth="1"/>
    <col min="3" max="3" width="7.55555555555556" style="3" customWidth="1"/>
    <col min="4" max="4" width="8.77777777777778" style="3" customWidth="1"/>
    <col min="5" max="5" width="21.1111111111111" style="4" customWidth="1"/>
    <col min="6" max="6" width="25.6666666666667" style="4" customWidth="1"/>
    <col min="7" max="9" width="5.55555555555556" style="3" customWidth="1"/>
    <col min="10" max="10" width="4.77777777777778" style="3" customWidth="1"/>
    <col min="11" max="13" width="5.55555555555556" style="3" customWidth="1"/>
    <col min="14" max="14" width="4.77777777777778" style="3" customWidth="1"/>
    <col min="15" max="17" width="5.55555555555556" style="3" customWidth="1"/>
    <col min="18" max="18" width="4.77777777777778" style="3" customWidth="1"/>
    <col min="19" max="19" width="5.77777777777778" style="5" customWidth="1"/>
    <col min="20" max="20" width="8.55555555555556" style="6" customWidth="1"/>
    <col min="21" max="21" width="7.11111111111111" style="4" customWidth="1"/>
    <col min="22" max="16384" width="9.11111111111111" style="7"/>
  </cols>
  <sheetData>
    <row r="1" s="1" customFormat="1" ht="28.95" customHeight="1" spans="1:21">
      <c r="A1" s="8" t="s">
        <v>749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5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6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405</v>
      </c>
      <c r="H3" s="14"/>
      <c r="I3" s="14"/>
      <c r="J3" s="14"/>
      <c r="K3" s="14" t="s">
        <v>7</v>
      </c>
      <c r="L3" s="14"/>
      <c r="M3" s="14"/>
      <c r="N3" s="14"/>
      <c r="O3" s="14" t="s">
        <v>406</v>
      </c>
      <c r="P3" s="14"/>
      <c r="Q3" s="14"/>
      <c r="R3" s="14"/>
      <c r="S3" s="14" t="s">
        <v>407</v>
      </c>
      <c r="T3" s="14" t="s">
        <v>9</v>
      </c>
      <c r="U3" s="37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>
        <v>1</v>
      </c>
      <c r="L4" s="16">
        <v>2</v>
      </c>
      <c r="M4" s="16">
        <v>3</v>
      </c>
      <c r="N4" s="16" t="s">
        <v>11</v>
      </c>
      <c r="O4" s="16">
        <v>1</v>
      </c>
      <c r="P4" s="16">
        <v>2</v>
      </c>
      <c r="Q4" s="16">
        <v>3</v>
      </c>
      <c r="R4" s="16" t="s">
        <v>11</v>
      </c>
      <c r="S4" s="16"/>
      <c r="T4" s="16"/>
      <c r="U4" s="38"/>
    </row>
    <row r="5" s="3" customFormat="1" ht="15.75" spans="1:21">
      <c r="A5" s="17" t="s">
        <v>21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19" t="s">
        <v>750</v>
      </c>
      <c r="B6" s="20" t="s">
        <v>751</v>
      </c>
      <c r="C6" s="20" t="s">
        <v>752</v>
      </c>
      <c r="D6" s="20" t="str">
        <f>"0,7034"</f>
        <v>0,7034</v>
      </c>
      <c r="E6" s="19" t="s">
        <v>449</v>
      </c>
      <c r="F6" s="19" t="s">
        <v>17</v>
      </c>
      <c r="G6" s="20" t="s">
        <v>19</v>
      </c>
      <c r="H6" s="20" t="s">
        <v>440</v>
      </c>
      <c r="I6" s="20" t="s">
        <v>753</v>
      </c>
      <c r="J6" s="39"/>
      <c r="K6" s="20" t="s">
        <v>428</v>
      </c>
      <c r="L6" s="20" t="s">
        <v>442</v>
      </c>
      <c r="M6" s="39" t="s">
        <v>443</v>
      </c>
      <c r="N6" s="39"/>
      <c r="O6" s="20" t="s">
        <v>440</v>
      </c>
      <c r="P6" s="20" t="s">
        <v>26</v>
      </c>
      <c r="Q6" s="20" t="s">
        <v>28</v>
      </c>
      <c r="R6" s="39"/>
      <c r="S6" s="40" t="str">
        <f>"470,0"</f>
        <v>470,0</v>
      </c>
      <c r="T6" s="41" t="str">
        <f>"330,5980"</f>
        <v>330,5980</v>
      </c>
      <c r="U6" s="19"/>
    </row>
    <row r="7" s="3" customFormat="1" spans="1:21">
      <c r="A7" s="4"/>
      <c r="E7" s="4"/>
      <c r="F7" s="4"/>
      <c r="S7" s="5"/>
      <c r="T7" s="6"/>
      <c r="U7" s="4"/>
    </row>
    <row r="8" ht="15.75" spans="1:18">
      <c r="A8" s="21" t="s">
        <v>116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21">
      <c r="A9" s="19" t="s">
        <v>754</v>
      </c>
      <c r="B9" s="20" t="s">
        <v>755</v>
      </c>
      <c r="C9" s="20" t="s">
        <v>756</v>
      </c>
      <c r="D9" s="20" t="str">
        <f>"0,5861"</f>
        <v>0,5861</v>
      </c>
      <c r="E9" s="19" t="s">
        <v>16</v>
      </c>
      <c r="F9" s="19" t="s">
        <v>17</v>
      </c>
      <c r="G9" s="20" t="s">
        <v>442</v>
      </c>
      <c r="H9" s="20" t="s">
        <v>283</v>
      </c>
      <c r="I9" s="20" t="s">
        <v>289</v>
      </c>
      <c r="J9" s="39"/>
      <c r="K9" s="20" t="s">
        <v>580</v>
      </c>
      <c r="L9" s="20" t="s">
        <v>283</v>
      </c>
      <c r="M9" s="20" t="s">
        <v>288</v>
      </c>
      <c r="N9" s="39"/>
      <c r="O9" s="20" t="s">
        <v>440</v>
      </c>
      <c r="P9" s="20" t="s">
        <v>28</v>
      </c>
      <c r="Q9" s="39" t="s">
        <v>450</v>
      </c>
      <c r="R9" s="39"/>
      <c r="S9" s="40" t="str">
        <f>"457,5"</f>
        <v>457,5</v>
      </c>
      <c r="T9" s="41" t="str">
        <f>"268,1407"</f>
        <v>268,1407</v>
      </c>
      <c r="U9" s="19"/>
    </row>
    <row r="11" ht="15.75" spans="1:18">
      <c r="A11" s="21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21">
      <c r="A12" s="19" t="s">
        <v>757</v>
      </c>
      <c r="B12" s="20" t="s">
        <v>758</v>
      </c>
      <c r="C12" s="20" t="s">
        <v>759</v>
      </c>
      <c r="D12" s="20" t="str">
        <f>"0,5401"</f>
        <v>0,5401</v>
      </c>
      <c r="E12" s="19" t="s">
        <v>16</v>
      </c>
      <c r="F12" s="19" t="s">
        <v>434</v>
      </c>
      <c r="G12" s="20" t="s">
        <v>470</v>
      </c>
      <c r="H12" s="20" t="s">
        <v>723</v>
      </c>
      <c r="I12" s="20" t="s">
        <v>760</v>
      </c>
      <c r="J12" s="39"/>
      <c r="K12" s="20" t="s">
        <v>282</v>
      </c>
      <c r="L12" s="20" t="s">
        <v>283</v>
      </c>
      <c r="M12" s="39" t="s">
        <v>430</v>
      </c>
      <c r="N12" s="39"/>
      <c r="O12" s="20" t="s">
        <v>470</v>
      </c>
      <c r="P12" s="20" t="s">
        <v>760</v>
      </c>
      <c r="Q12" s="39" t="s">
        <v>761</v>
      </c>
      <c r="R12" s="39"/>
      <c r="S12" s="40" t="str">
        <f>"690,0"</f>
        <v>690,0</v>
      </c>
      <c r="T12" s="41" t="str">
        <f>"495,6498"</f>
        <v>495,6498</v>
      </c>
      <c r="U12" s="19"/>
    </row>
    <row r="14" ht="15.75" spans="1:18">
      <c r="A14" s="21" t="s">
        <v>465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21">
      <c r="A15" s="23" t="s">
        <v>762</v>
      </c>
      <c r="B15" s="24" t="s">
        <v>763</v>
      </c>
      <c r="C15" s="24" t="s">
        <v>764</v>
      </c>
      <c r="D15" s="24" t="str">
        <f>"0,5154"</f>
        <v>0,5154</v>
      </c>
      <c r="E15" s="23" t="s">
        <v>449</v>
      </c>
      <c r="F15" s="23" t="s">
        <v>765</v>
      </c>
      <c r="G15" s="24" t="s">
        <v>453</v>
      </c>
      <c r="H15" s="24" t="s">
        <v>470</v>
      </c>
      <c r="I15" s="24" t="s">
        <v>760</v>
      </c>
      <c r="J15" s="42"/>
      <c r="K15" s="24" t="s">
        <v>289</v>
      </c>
      <c r="L15" s="24" t="s">
        <v>609</v>
      </c>
      <c r="M15" s="24" t="s">
        <v>588</v>
      </c>
      <c r="N15" s="42"/>
      <c r="O15" s="24" t="s">
        <v>470</v>
      </c>
      <c r="P15" s="24" t="s">
        <v>760</v>
      </c>
      <c r="Q15" s="24" t="s">
        <v>761</v>
      </c>
      <c r="R15" s="42"/>
      <c r="S15" s="43" t="str">
        <f>"722,5"</f>
        <v>722,5</v>
      </c>
      <c r="T15" s="44" t="str">
        <f>"372,3765"</f>
        <v>372,3765</v>
      </c>
      <c r="U15" s="23"/>
    </row>
    <row r="16" spans="1:21">
      <c r="A16" s="48" t="s">
        <v>766</v>
      </c>
      <c r="B16" s="49" t="s">
        <v>767</v>
      </c>
      <c r="C16" s="49" t="s">
        <v>768</v>
      </c>
      <c r="D16" s="49" t="str">
        <f>"0,5094"</f>
        <v>0,5094</v>
      </c>
      <c r="E16" s="48" t="s">
        <v>449</v>
      </c>
      <c r="F16" s="48" t="s">
        <v>17</v>
      </c>
      <c r="G16" s="49" t="s">
        <v>444</v>
      </c>
      <c r="H16" s="49" t="s">
        <v>34</v>
      </c>
      <c r="I16" s="49" t="s">
        <v>452</v>
      </c>
      <c r="J16" s="50"/>
      <c r="K16" s="49" t="s">
        <v>429</v>
      </c>
      <c r="L16" s="49" t="s">
        <v>430</v>
      </c>
      <c r="M16" s="49" t="s">
        <v>18</v>
      </c>
      <c r="N16" s="50"/>
      <c r="O16" s="49" t="s">
        <v>445</v>
      </c>
      <c r="P16" s="49" t="s">
        <v>718</v>
      </c>
      <c r="Q16" s="49" t="s">
        <v>472</v>
      </c>
      <c r="R16" s="50"/>
      <c r="S16" s="51" t="str">
        <f>"620,0"</f>
        <v>620,0</v>
      </c>
      <c r="T16" s="52" t="str">
        <f>"315,8280"</f>
        <v>315,8280</v>
      </c>
      <c r="U16" s="48"/>
    </row>
    <row r="17" spans="1:21">
      <c r="A17" s="25" t="s">
        <v>769</v>
      </c>
      <c r="B17" s="26" t="s">
        <v>770</v>
      </c>
      <c r="C17" s="26" t="s">
        <v>768</v>
      </c>
      <c r="D17" s="26" t="str">
        <f>"0,5094"</f>
        <v>0,5094</v>
      </c>
      <c r="E17" s="25" t="s">
        <v>449</v>
      </c>
      <c r="F17" s="25" t="s">
        <v>17</v>
      </c>
      <c r="G17" s="26" t="s">
        <v>444</v>
      </c>
      <c r="H17" s="26" t="s">
        <v>34</v>
      </c>
      <c r="I17" s="26" t="s">
        <v>452</v>
      </c>
      <c r="J17" s="45"/>
      <c r="K17" s="26" t="s">
        <v>429</v>
      </c>
      <c r="L17" s="26" t="s">
        <v>430</v>
      </c>
      <c r="M17" s="26" t="s">
        <v>18</v>
      </c>
      <c r="N17" s="45"/>
      <c r="O17" s="26" t="s">
        <v>445</v>
      </c>
      <c r="P17" s="26" t="s">
        <v>718</v>
      </c>
      <c r="Q17" s="26" t="s">
        <v>472</v>
      </c>
      <c r="R17" s="45"/>
      <c r="S17" s="46" t="str">
        <f>"620,0"</f>
        <v>620,0</v>
      </c>
      <c r="T17" s="47" t="str">
        <f>"315,8280"</f>
        <v>315,8280</v>
      </c>
      <c r="U17" s="25"/>
    </row>
    <row r="19" ht="15.75" spans="5:5">
      <c r="E19" s="27" t="s">
        <v>37</v>
      </c>
    </row>
    <row r="20" ht="15.75" spans="5:5">
      <c r="E20" s="27" t="s">
        <v>38</v>
      </c>
    </row>
    <row r="21" ht="15.75" spans="5:5">
      <c r="E21" s="27" t="s">
        <v>39</v>
      </c>
    </row>
    <row r="22" spans="5:5">
      <c r="E22" s="4" t="s">
        <v>40</v>
      </c>
    </row>
    <row r="23" spans="5:5">
      <c r="E23" s="4" t="s">
        <v>41</v>
      </c>
    </row>
    <row r="24" spans="5:5">
      <c r="E24" s="4" t="s">
        <v>42</v>
      </c>
    </row>
    <row r="27" ht="18.75" spans="1:2">
      <c r="A27" s="28" t="s">
        <v>43</v>
      </c>
      <c r="B27" s="29"/>
    </row>
    <row r="28" ht="15.75" spans="1:2">
      <c r="A28" s="30" t="s">
        <v>77</v>
      </c>
      <c r="B28" s="21"/>
    </row>
    <row r="29" ht="15" spans="1:2">
      <c r="A29" s="31"/>
      <c r="B29" s="32" t="s">
        <v>45</v>
      </c>
    </row>
    <row r="30" ht="14.25" spans="1:5">
      <c r="A30" s="33" t="s">
        <v>1</v>
      </c>
      <c r="B30" s="33" t="s">
        <v>46</v>
      </c>
      <c r="C30" s="33" t="s">
        <v>47</v>
      </c>
      <c r="D30" s="33" t="s">
        <v>474</v>
      </c>
      <c r="E30" s="33" t="s">
        <v>328</v>
      </c>
    </row>
    <row r="31" spans="1:5">
      <c r="A31" s="34" t="s">
        <v>771</v>
      </c>
      <c r="B31" s="3" t="s">
        <v>45</v>
      </c>
      <c r="C31" s="3" t="s">
        <v>53</v>
      </c>
      <c r="D31" s="3" t="s">
        <v>772</v>
      </c>
      <c r="E31" s="5" t="s">
        <v>773</v>
      </c>
    </row>
    <row r="34" ht="15.75" spans="1:2">
      <c r="A34" s="30" t="s">
        <v>44</v>
      </c>
      <c r="B34" s="21"/>
    </row>
    <row r="35" ht="15" spans="1:2">
      <c r="A35" s="31"/>
      <c r="B35" s="32" t="s">
        <v>45</v>
      </c>
    </row>
    <row r="36" ht="14.25" spans="1:5">
      <c r="A36" s="33" t="s">
        <v>1</v>
      </c>
      <c r="B36" s="33" t="s">
        <v>46</v>
      </c>
      <c r="C36" s="33" t="s">
        <v>47</v>
      </c>
      <c r="D36" s="33" t="s">
        <v>474</v>
      </c>
      <c r="E36" s="33" t="s">
        <v>328</v>
      </c>
    </row>
    <row r="37" spans="1:5">
      <c r="A37" s="34" t="s">
        <v>774</v>
      </c>
      <c r="B37" s="3" t="s">
        <v>45</v>
      </c>
      <c r="C37" s="3" t="s">
        <v>491</v>
      </c>
      <c r="D37" s="3" t="s">
        <v>775</v>
      </c>
      <c r="E37" s="5" t="s">
        <v>776</v>
      </c>
    </row>
    <row r="38" spans="1:5">
      <c r="A38" s="34" t="s">
        <v>777</v>
      </c>
      <c r="B38" s="3" t="s">
        <v>45</v>
      </c>
      <c r="C38" s="3" t="s">
        <v>491</v>
      </c>
      <c r="D38" s="3" t="s">
        <v>778</v>
      </c>
      <c r="E38" s="5" t="s">
        <v>779</v>
      </c>
    </row>
    <row r="39" spans="1:5">
      <c r="A39" s="34" t="s">
        <v>780</v>
      </c>
      <c r="B39" s="3" t="s">
        <v>45</v>
      </c>
      <c r="C39" s="3" t="s">
        <v>153</v>
      </c>
      <c r="D39" s="3" t="s">
        <v>781</v>
      </c>
      <c r="E39" s="5" t="s">
        <v>782</v>
      </c>
    </row>
    <row r="41" ht="15" spans="1:2">
      <c r="A41" s="31"/>
      <c r="B41" s="32" t="s">
        <v>783</v>
      </c>
    </row>
    <row r="42" ht="14.25" spans="1:5">
      <c r="A42" s="33" t="s">
        <v>1</v>
      </c>
      <c r="B42" s="33" t="s">
        <v>46</v>
      </c>
      <c r="C42" s="33" t="s">
        <v>47</v>
      </c>
      <c r="D42" s="33" t="s">
        <v>474</v>
      </c>
      <c r="E42" s="33" t="s">
        <v>328</v>
      </c>
    </row>
    <row r="43" spans="1:5">
      <c r="A43" s="34" t="s">
        <v>777</v>
      </c>
      <c r="B43" s="3" t="s">
        <v>784</v>
      </c>
      <c r="C43" s="3" t="s">
        <v>491</v>
      </c>
      <c r="D43" s="3" t="s">
        <v>778</v>
      </c>
      <c r="E43" s="5" t="s">
        <v>779</v>
      </c>
    </row>
    <row r="45" ht="15" spans="1:2">
      <c r="A45" s="31"/>
      <c r="B45" s="32" t="s">
        <v>139</v>
      </c>
    </row>
    <row r="46" ht="14.25" spans="1:5">
      <c r="A46" s="33" t="s">
        <v>1</v>
      </c>
      <c r="B46" s="33" t="s">
        <v>46</v>
      </c>
      <c r="C46" s="33" t="s">
        <v>47</v>
      </c>
      <c r="D46" s="33" t="s">
        <v>474</v>
      </c>
      <c r="E46" s="33" t="s">
        <v>328</v>
      </c>
    </row>
    <row r="47" spans="1:5">
      <c r="A47" s="34" t="s">
        <v>435</v>
      </c>
      <c r="B47" s="3" t="s">
        <v>681</v>
      </c>
      <c r="C47" s="3" t="s">
        <v>50</v>
      </c>
      <c r="D47" s="3" t="s">
        <v>785</v>
      </c>
      <c r="E47" s="5" t="s">
        <v>786</v>
      </c>
    </row>
  </sheetData>
  <mergeCells count="17">
    <mergeCell ref="G3:J3"/>
    <mergeCell ref="K3:N3"/>
    <mergeCell ref="O3:R3"/>
    <mergeCell ref="A5:R5"/>
    <mergeCell ref="A8:R8"/>
    <mergeCell ref="A11:R11"/>
    <mergeCell ref="A14:R14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30.4444444444444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30.8888888888889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16.2222222222222" style="4" customWidth="1"/>
    <col min="14" max="16384" width="9.11111111111111" style="7"/>
  </cols>
  <sheetData>
    <row r="1" s="1" customFormat="1" ht="28.95" customHeight="1" spans="1:13">
      <c r="A1" s="8" t="s">
        <v>787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788</v>
      </c>
      <c r="B6" s="20" t="s">
        <v>789</v>
      </c>
      <c r="C6" s="20" t="s">
        <v>531</v>
      </c>
      <c r="D6" s="20" t="str">
        <f>"0,7293"</f>
        <v>0,7293</v>
      </c>
      <c r="E6" s="19" t="s">
        <v>16</v>
      </c>
      <c r="F6" s="19" t="s">
        <v>790</v>
      </c>
      <c r="G6" s="20" t="s">
        <v>181</v>
      </c>
      <c r="H6" s="20" t="s">
        <v>98</v>
      </c>
      <c r="I6" s="20" t="s">
        <v>103</v>
      </c>
      <c r="J6" s="39"/>
      <c r="K6" s="40" t="str">
        <f>"75,0"</f>
        <v>75,0</v>
      </c>
      <c r="L6" s="41" t="str">
        <f>"58,4716"</f>
        <v>58,4716</v>
      </c>
      <c r="M6" s="19" t="s">
        <v>791</v>
      </c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12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792</v>
      </c>
      <c r="B9" s="20" t="s">
        <v>793</v>
      </c>
      <c r="C9" s="20" t="s">
        <v>794</v>
      </c>
      <c r="D9" s="20" t="str">
        <f>"0,6931"</f>
        <v>0,6931</v>
      </c>
      <c r="E9" s="19" t="s">
        <v>16</v>
      </c>
      <c r="F9" s="19" t="s">
        <v>17</v>
      </c>
      <c r="G9" s="39" t="s">
        <v>217</v>
      </c>
      <c r="H9" s="20" t="s">
        <v>217</v>
      </c>
      <c r="I9" s="20" t="s">
        <v>346</v>
      </c>
      <c r="J9" s="39"/>
      <c r="K9" s="40" t="str">
        <f>"52,5"</f>
        <v>52,5</v>
      </c>
      <c r="L9" s="41" t="str">
        <f>"36,3877"</f>
        <v>36,3877</v>
      </c>
      <c r="M9" s="19" t="s">
        <v>795</v>
      </c>
    </row>
    <row r="11" ht="15.75" spans="1:10">
      <c r="A11" s="21" t="s">
        <v>21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796</v>
      </c>
      <c r="B12" s="20" t="s">
        <v>797</v>
      </c>
      <c r="C12" s="20" t="s">
        <v>752</v>
      </c>
      <c r="D12" s="20" t="str">
        <f>"0,6467"</f>
        <v>0,6467</v>
      </c>
      <c r="E12" s="19" t="s">
        <v>16</v>
      </c>
      <c r="F12" s="19" t="s">
        <v>17</v>
      </c>
      <c r="G12" s="20" t="s">
        <v>282</v>
      </c>
      <c r="H12" s="39" t="s">
        <v>798</v>
      </c>
      <c r="I12" s="20" t="s">
        <v>798</v>
      </c>
      <c r="J12" s="39"/>
      <c r="K12" s="40" t="str">
        <f>"127,5"</f>
        <v>127,5</v>
      </c>
      <c r="L12" s="41" t="str">
        <f>"82,4543"</f>
        <v>82,4543</v>
      </c>
      <c r="M12" s="19"/>
    </row>
    <row r="14" ht="15.75" spans="1:10">
      <c r="A14" s="21" t="s">
        <v>116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3">
      <c r="A15" s="19" t="s">
        <v>799</v>
      </c>
      <c r="B15" s="20" t="s">
        <v>800</v>
      </c>
      <c r="C15" s="20" t="s">
        <v>801</v>
      </c>
      <c r="D15" s="20" t="str">
        <f>"0,6132"</f>
        <v>0,6132</v>
      </c>
      <c r="E15" s="19" t="s">
        <v>16</v>
      </c>
      <c r="F15" s="19" t="s">
        <v>802</v>
      </c>
      <c r="G15" s="20" t="s">
        <v>126</v>
      </c>
      <c r="H15" s="39" t="s">
        <v>132</v>
      </c>
      <c r="I15" s="39" t="s">
        <v>132</v>
      </c>
      <c r="J15" s="39"/>
      <c r="K15" s="40" t="str">
        <f>"90,0"</f>
        <v>90,0</v>
      </c>
      <c r="L15" s="41" t="str">
        <f>"68,3779"</f>
        <v>68,3779</v>
      </c>
      <c r="M15" s="19"/>
    </row>
    <row r="17" ht="15.75" spans="1:10">
      <c r="A17" s="21" t="s">
        <v>56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3">
      <c r="A18" s="23" t="s">
        <v>803</v>
      </c>
      <c r="B18" s="24" t="s">
        <v>804</v>
      </c>
      <c r="C18" s="24" t="s">
        <v>805</v>
      </c>
      <c r="D18" s="24" t="str">
        <f>"0,5691"</f>
        <v>0,5691</v>
      </c>
      <c r="E18" s="23" t="s">
        <v>16</v>
      </c>
      <c r="F18" s="23" t="s">
        <v>806</v>
      </c>
      <c r="G18" s="42" t="s">
        <v>444</v>
      </c>
      <c r="H18" s="24" t="s">
        <v>444</v>
      </c>
      <c r="I18" s="24" t="s">
        <v>445</v>
      </c>
      <c r="J18" s="42"/>
      <c r="K18" s="43" t="str">
        <f>"190,0"</f>
        <v>190,0</v>
      </c>
      <c r="L18" s="44" t="str">
        <f>"108,1290"</f>
        <v>108,1290</v>
      </c>
      <c r="M18" s="23"/>
    </row>
    <row r="19" spans="1:13">
      <c r="A19" s="25" t="s">
        <v>807</v>
      </c>
      <c r="B19" s="26" t="s">
        <v>808</v>
      </c>
      <c r="C19" s="26" t="s">
        <v>809</v>
      </c>
      <c r="D19" s="26" t="str">
        <f>"0,5581"</f>
        <v>0,5581</v>
      </c>
      <c r="E19" s="25" t="s">
        <v>16</v>
      </c>
      <c r="F19" s="25" t="s">
        <v>17</v>
      </c>
      <c r="G19" s="26" t="s">
        <v>20</v>
      </c>
      <c r="H19" s="26" t="s">
        <v>441</v>
      </c>
      <c r="I19" s="45" t="s">
        <v>26</v>
      </c>
      <c r="J19" s="45"/>
      <c r="K19" s="46" t="str">
        <f>"170,0"</f>
        <v>170,0</v>
      </c>
      <c r="L19" s="47" t="str">
        <f>"94,8770"</f>
        <v>94,8770</v>
      </c>
      <c r="M19" s="25"/>
    </row>
    <row r="21" ht="15.75" spans="1:10">
      <c r="A21" s="21" t="s">
        <v>29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3">
      <c r="A22" s="23" t="s">
        <v>810</v>
      </c>
      <c r="B22" s="24" t="s">
        <v>811</v>
      </c>
      <c r="C22" s="24" t="s">
        <v>189</v>
      </c>
      <c r="D22" s="24" t="str">
        <f>"0,5421"</f>
        <v>0,5421</v>
      </c>
      <c r="E22" s="23" t="s">
        <v>190</v>
      </c>
      <c r="F22" s="23" t="s">
        <v>17</v>
      </c>
      <c r="G22" s="42" t="s">
        <v>445</v>
      </c>
      <c r="H22" s="42" t="s">
        <v>445</v>
      </c>
      <c r="I22" s="42" t="s">
        <v>445</v>
      </c>
      <c r="J22" s="42"/>
      <c r="K22" s="43" t="str">
        <f>"0.00"</f>
        <v>0.00</v>
      </c>
      <c r="L22" s="44" t="str">
        <f>"0,0000"</f>
        <v>0,0000</v>
      </c>
      <c r="M22" s="23"/>
    </row>
    <row r="23" spans="1:13">
      <c r="A23" s="25" t="s">
        <v>812</v>
      </c>
      <c r="B23" s="26" t="s">
        <v>813</v>
      </c>
      <c r="C23" s="26" t="s">
        <v>620</v>
      </c>
      <c r="D23" s="26" t="str">
        <f>"0,5389"</f>
        <v>0,5389</v>
      </c>
      <c r="E23" s="25" t="s">
        <v>16</v>
      </c>
      <c r="F23" s="25" t="s">
        <v>17</v>
      </c>
      <c r="G23" s="26" t="s">
        <v>444</v>
      </c>
      <c r="H23" s="45" t="s">
        <v>28</v>
      </c>
      <c r="I23" s="26" t="s">
        <v>445</v>
      </c>
      <c r="J23" s="45"/>
      <c r="K23" s="46" t="str">
        <f>"190,0"</f>
        <v>190,0</v>
      </c>
      <c r="L23" s="47" t="str">
        <f>"102,3910"</f>
        <v>102,3910</v>
      </c>
      <c r="M23" s="25"/>
    </row>
    <row r="25" ht="15.75" spans="1:10">
      <c r="A25" s="21" t="s">
        <v>230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3">
      <c r="A26" s="23" t="s">
        <v>814</v>
      </c>
      <c r="B26" s="24" t="s">
        <v>815</v>
      </c>
      <c r="C26" s="24" t="s">
        <v>816</v>
      </c>
      <c r="D26" s="24" t="str">
        <f>"0,5247"</f>
        <v>0,5247</v>
      </c>
      <c r="E26" s="23" t="s">
        <v>16</v>
      </c>
      <c r="F26" s="23" t="s">
        <v>17</v>
      </c>
      <c r="G26" s="24" t="s">
        <v>26</v>
      </c>
      <c r="H26" s="24" t="s">
        <v>28</v>
      </c>
      <c r="I26" s="24" t="s">
        <v>817</v>
      </c>
      <c r="J26" s="42"/>
      <c r="K26" s="43" t="str">
        <f>"192,5"</f>
        <v>192,5</v>
      </c>
      <c r="L26" s="44" t="str">
        <f>"101,0047"</f>
        <v>101,0047</v>
      </c>
      <c r="M26" s="23"/>
    </row>
    <row r="27" spans="1:13">
      <c r="A27" s="25" t="s">
        <v>818</v>
      </c>
      <c r="B27" s="26" t="s">
        <v>819</v>
      </c>
      <c r="C27" s="26" t="s">
        <v>820</v>
      </c>
      <c r="D27" s="26" t="str">
        <f>"0,5278"</f>
        <v>0,5278</v>
      </c>
      <c r="E27" s="25" t="s">
        <v>16</v>
      </c>
      <c r="F27" s="25" t="s">
        <v>540</v>
      </c>
      <c r="G27" s="26" t="s">
        <v>440</v>
      </c>
      <c r="H27" s="26" t="s">
        <v>26</v>
      </c>
      <c r="I27" s="26" t="s">
        <v>705</v>
      </c>
      <c r="J27" s="45"/>
      <c r="K27" s="46" t="str">
        <f>"177,5"</f>
        <v>177,5</v>
      </c>
      <c r="L27" s="47" t="str">
        <f>"107,1751"</f>
        <v>107,1751</v>
      </c>
      <c r="M27" s="25"/>
    </row>
    <row r="29" ht="15.75" spans="5:5">
      <c r="E29" s="27" t="s">
        <v>37</v>
      </c>
    </row>
    <row r="30" ht="15.75" spans="5:5">
      <c r="E30" s="27" t="s">
        <v>38</v>
      </c>
    </row>
    <row r="31" ht="15.75" spans="5:5">
      <c r="E31" s="27" t="s">
        <v>39</v>
      </c>
    </row>
    <row r="32" spans="5:5">
      <c r="E32" s="4" t="s">
        <v>40</v>
      </c>
    </row>
    <row r="33" spans="5:5">
      <c r="E33" s="4" t="s">
        <v>41</v>
      </c>
    </row>
    <row r="34" spans="5:5">
      <c r="E34" s="4" t="s">
        <v>42</v>
      </c>
    </row>
    <row r="37" ht="18.75" spans="1:2">
      <c r="A37" s="28" t="s">
        <v>43</v>
      </c>
      <c r="B37" s="29"/>
    </row>
    <row r="38" ht="15.75" spans="1:2">
      <c r="A38" s="30" t="s">
        <v>77</v>
      </c>
      <c r="B38" s="21"/>
    </row>
    <row r="39" ht="15" spans="1:2">
      <c r="A39" s="31"/>
      <c r="B39" s="32" t="s">
        <v>139</v>
      </c>
    </row>
    <row r="40" ht="14.25" spans="1:5">
      <c r="A40" s="33" t="s">
        <v>1</v>
      </c>
      <c r="B40" s="33" t="s">
        <v>46</v>
      </c>
      <c r="C40" s="33" t="s">
        <v>47</v>
      </c>
      <c r="D40" s="33" t="s">
        <v>48</v>
      </c>
      <c r="E40" s="33" t="s">
        <v>328</v>
      </c>
    </row>
    <row r="41" spans="1:5">
      <c r="A41" s="34" t="s">
        <v>821</v>
      </c>
      <c r="B41" s="3" t="s">
        <v>244</v>
      </c>
      <c r="C41" s="3" t="s">
        <v>160</v>
      </c>
      <c r="D41" s="3" t="s">
        <v>103</v>
      </c>
      <c r="E41" s="5" t="s">
        <v>822</v>
      </c>
    </row>
    <row r="44" ht="15.75" spans="1:2">
      <c r="A44" s="30" t="s">
        <v>44</v>
      </c>
      <c r="B44" s="21"/>
    </row>
    <row r="45" ht="15" spans="1:2">
      <c r="A45" s="31"/>
      <c r="B45" s="32" t="s">
        <v>141</v>
      </c>
    </row>
    <row r="46" ht="14.25" spans="1:5">
      <c r="A46" s="33" t="s">
        <v>1</v>
      </c>
      <c r="B46" s="33" t="s">
        <v>46</v>
      </c>
      <c r="C46" s="33" t="s">
        <v>47</v>
      </c>
      <c r="D46" s="33" t="s">
        <v>48</v>
      </c>
      <c r="E46" s="33" t="s">
        <v>328</v>
      </c>
    </row>
    <row r="47" spans="1:5">
      <c r="A47" s="34" t="s">
        <v>823</v>
      </c>
      <c r="B47" s="3" t="s">
        <v>476</v>
      </c>
      <c r="C47" s="3" t="s">
        <v>160</v>
      </c>
      <c r="D47" s="3" t="s">
        <v>346</v>
      </c>
      <c r="E47" s="5" t="s">
        <v>824</v>
      </c>
    </row>
    <row r="49" ht="15" spans="1:2">
      <c r="A49" s="31"/>
      <c r="B49" s="32" t="s">
        <v>370</v>
      </c>
    </row>
    <row r="50" ht="14.25" spans="1:5">
      <c r="A50" s="33" t="s">
        <v>1</v>
      </c>
      <c r="B50" s="33" t="s">
        <v>46</v>
      </c>
      <c r="C50" s="33" t="s">
        <v>47</v>
      </c>
      <c r="D50" s="33" t="s">
        <v>48</v>
      </c>
      <c r="E50" s="33" t="s">
        <v>328</v>
      </c>
    </row>
    <row r="51" spans="1:5">
      <c r="A51" s="34" t="s">
        <v>825</v>
      </c>
      <c r="B51" s="3" t="s">
        <v>372</v>
      </c>
      <c r="C51" s="3" t="s">
        <v>261</v>
      </c>
      <c r="D51" s="3" t="s">
        <v>817</v>
      </c>
      <c r="E51" s="5" t="s">
        <v>826</v>
      </c>
    </row>
    <row r="53" ht="15" spans="1:2">
      <c r="A53" s="31"/>
      <c r="B53" s="32" t="s">
        <v>45</v>
      </c>
    </row>
    <row r="54" ht="14.25" spans="1:5">
      <c r="A54" s="33" t="s">
        <v>1</v>
      </c>
      <c r="B54" s="33" t="s">
        <v>46</v>
      </c>
      <c r="C54" s="33" t="s">
        <v>47</v>
      </c>
      <c r="D54" s="33" t="s">
        <v>48</v>
      </c>
      <c r="E54" s="33" t="s">
        <v>328</v>
      </c>
    </row>
    <row r="55" spans="1:5">
      <c r="A55" s="34" t="s">
        <v>827</v>
      </c>
      <c r="B55" s="3" t="s">
        <v>45</v>
      </c>
      <c r="C55" s="3" t="s">
        <v>64</v>
      </c>
      <c r="D55" s="3" t="s">
        <v>445</v>
      </c>
      <c r="E55" s="5" t="s">
        <v>828</v>
      </c>
    </row>
    <row r="56" spans="1:5">
      <c r="A56" s="34" t="s">
        <v>829</v>
      </c>
      <c r="B56" s="3" t="s">
        <v>45</v>
      </c>
      <c r="C56" s="3" t="s">
        <v>64</v>
      </c>
      <c r="D56" s="3" t="s">
        <v>441</v>
      </c>
      <c r="E56" s="5" t="s">
        <v>830</v>
      </c>
    </row>
    <row r="58" ht="15" spans="1:2">
      <c r="A58" s="31"/>
      <c r="B58" s="32" t="s">
        <v>139</v>
      </c>
    </row>
    <row r="59" ht="14.25" spans="1:5">
      <c r="A59" s="33" t="s">
        <v>1</v>
      </c>
      <c r="B59" s="33" t="s">
        <v>46</v>
      </c>
      <c r="C59" s="33" t="s">
        <v>47</v>
      </c>
      <c r="D59" s="33" t="s">
        <v>48</v>
      </c>
      <c r="E59" s="33" t="s">
        <v>328</v>
      </c>
    </row>
    <row r="60" spans="1:5">
      <c r="A60" s="34" t="s">
        <v>831</v>
      </c>
      <c r="B60" s="3" t="s">
        <v>244</v>
      </c>
      <c r="C60" s="3" t="s">
        <v>261</v>
      </c>
      <c r="D60" s="3" t="s">
        <v>705</v>
      </c>
      <c r="E60" s="5" t="s">
        <v>832</v>
      </c>
    </row>
    <row r="61" spans="1:5">
      <c r="A61" s="34" t="s">
        <v>833</v>
      </c>
      <c r="B61" s="3" t="s">
        <v>246</v>
      </c>
      <c r="C61" s="3" t="s">
        <v>50</v>
      </c>
      <c r="D61" s="3" t="s">
        <v>445</v>
      </c>
      <c r="E61" s="5" t="s">
        <v>834</v>
      </c>
    </row>
    <row r="62" spans="1:5">
      <c r="A62" s="34" t="s">
        <v>835</v>
      </c>
      <c r="B62" s="3" t="s">
        <v>246</v>
      </c>
      <c r="C62" s="3" t="s">
        <v>53</v>
      </c>
      <c r="D62" s="3" t="s">
        <v>798</v>
      </c>
      <c r="E62" s="5" t="s">
        <v>836</v>
      </c>
    </row>
    <row r="63" spans="1:5">
      <c r="A63" s="34" t="s">
        <v>837</v>
      </c>
      <c r="B63" s="3" t="s">
        <v>681</v>
      </c>
      <c r="C63" s="3" t="s">
        <v>153</v>
      </c>
      <c r="D63" s="3" t="s">
        <v>126</v>
      </c>
      <c r="E63" s="5" t="s">
        <v>838</v>
      </c>
    </row>
  </sheetData>
  <mergeCells count="18">
    <mergeCell ref="G3:J3"/>
    <mergeCell ref="A5:J5"/>
    <mergeCell ref="A8:J8"/>
    <mergeCell ref="A11:J11"/>
    <mergeCell ref="A14:J14"/>
    <mergeCell ref="A17:J17"/>
    <mergeCell ref="A21:J21"/>
    <mergeCell ref="A25:J2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26.4444444444444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839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406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56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3" t="s">
        <v>840</v>
      </c>
      <c r="B6" s="24" t="s">
        <v>841</v>
      </c>
      <c r="C6" s="24" t="s">
        <v>711</v>
      </c>
      <c r="D6" s="24" t="str">
        <f>"0,5636"</f>
        <v>0,5636</v>
      </c>
      <c r="E6" s="23" t="s">
        <v>16</v>
      </c>
      <c r="F6" s="23" t="s">
        <v>842</v>
      </c>
      <c r="G6" s="42" t="s">
        <v>843</v>
      </c>
      <c r="H6" s="42" t="s">
        <v>843</v>
      </c>
      <c r="I6" s="24" t="s">
        <v>843</v>
      </c>
      <c r="J6" s="42"/>
      <c r="K6" s="43" t="str">
        <f>"205,0"</f>
        <v>205,0</v>
      </c>
      <c r="L6" s="44" t="str">
        <f>"115,5380"</f>
        <v>115,5380</v>
      </c>
      <c r="M6" s="23"/>
    </row>
    <row r="7" s="3" customFormat="1" spans="1:13">
      <c r="A7" s="25" t="s">
        <v>840</v>
      </c>
      <c r="B7" s="26" t="s">
        <v>844</v>
      </c>
      <c r="C7" s="26" t="s">
        <v>711</v>
      </c>
      <c r="D7" s="26" t="str">
        <f>"0,5636"</f>
        <v>0,5636</v>
      </c>
      <c r="E7" s="25" t="s">
        <v>16</v>
      </c>
      <c r="F7" s="25" t="s">
        <v>842</v>
      </c>
      <c r="G7" s="45" t="s">
        <v>843</v>
      </c>
      <c r="H7" s="45" t="s">
        <v>843</v>
      </c>
      <c r="I7" s="26" t="s">
        <v>843</v>
      </c>
      <c r="J7" s="45"/>
      <c r="K7" s="46" t="str">
        <f>"205,0"</f>
        <v>205,0</v>
      </c>
      <c r="L7" s="47" t="str">
        <f>"159,4424"</f>
        <v>159,4424</v>
      </c>
      <c r="M7" s="25"/>
    </row>
    <row r="9" ht="15.75" spans="5:5">
      <c r="E9" s="27" t="s">
        <v>37</v>
      </c>
    </row>
    <row r="10" ht="15.75" spans="5:5">
      <c r="E10" s="27" t="s">
        <v>38</v>
      </c>
    </row>
    <row r="11" ht="15.75" spans="5:5">
      <c r="E11" s="27" t="s">
        <v>39</v>
      </c>
    </row>
    <row r="12" spans="5:5">
      <c r="E12" s="4" t="s">
        <v>40</v>
      </c>
    </row>
    <row r="13" spans="5:5">
      <c r="E13" s="4" t="s">
        <v>41</v>
      </c>
    </row>
    <row r="14" spans="5:5">
      <c r="E14" s="4" t="s">
        <v>42</v>
      </c>
    </row>
    <row r="17" ht="18.75" spans="1:2">
      <c r="A17" s="28" t="s">
        <v>43</v>
      </c>
      <c r="B17" s="29"/>
    </row>
    <row r="18" ht="15.75" spans="1:2">
      <c r="A18" s="30" t="s">
        <v>44</v>
      </c>
      <c r="B18" s="21"/>
    </row>
    <row r="19" ht="15" spans="1:2">
      <c r="A19" s="31"/>
      <c r="B19" s="32" t="s">
        <v>45</v>
      </c>
    </row>
    <row r="20" ht="14.25" spans="1:5">
      <c r="A20" s="33" t="s">
        <v>1</v>
      </c>
      <c r="B20" s="33" t="s">
        <v>46</v>
      </c>
      <c r="C20" s="33" t="s">
        <v>47</v>
      </c>
      <c r="D20" s="33" t="s">
        <v>48</v>
      </c>
      <c r="E20" s="33" t="s">
        <v>328</v>
      </c>
    </row>
    <row r="21" spans="1:5">
      <c r="A21" s="34" t="s">
        <v>845</v>
      </c>
      <c r="B21" s="3" t="s">
        <v>45</v>
      </c>
      <c r="C21" s="3" t="s">
        <v>64</v>
      </c>
      <c r="D21" s="3" t="s">
        <v>717</v>
      </c>
      <c r="E21" s="5" t="s">
        <v>846</v>
      </c>
    </row>
    <row r="23" ht="15" spans="1:2">
      <c r="A23" s="31"/>
      <c r="B23" s="32" t="s">
        <v>139</v>
      </c>
    </row>
    <row r="24" ht="14.25" spans="1:5">
      <c r="A24" s="33" t="s">
        <v>1</v>
      </c>
      <c r="B24" s="33" t="s">
        <v>46</v>
      </c>
      <c r="C24" s="33" t="s">
        <v>47</v>
      </c>
      <c r="D24" s="33" t="s">
        <v>48</v>
      </c>
      <c r="E24" s="33" t="s">
        <v>328</v>
      </c>
    </row>
    <row r="25" spans="1:5">
      <c r="A25" s="34" t="s">
        <v>845</v>
      </c>
      <c r="B25" s="3" t="s">
        <v>241</v>
      </c>
      <c r="C25" s="3" t="s">
        <v>64</v>
      </c>
      <c r="D25" s="3" t="s">
        <v>717</v>
      </c>
      <c r="E25" s="5" t="s">
        <v>847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26.4444444444444" style="4" customWidth="1"/>
    <col min="7" max="8" width="5.55555555555556" style="3" customWidth="1"/>
    <col min="9" max="9" width="2.11111111111111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848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406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56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3" t="s">
        <v>840</v>
      </c>
      <c r="B6" s="24" t="s">
        <v>841</v>
      </c>
      <c r="C6" s="24" t="s">
        <v>711</v>
      </c>
      <c r="D6" s="24" t="str">
        <f>"0,5636"</f>
        <v>0,5636</v>
      </c>
      <c r="E6" s="23" t="s">
        <v>16</v>
      </c>
      <c r="F6" s="23" t="s">
        <v>842</v>
      </c>
      <c r="G6" s="42" t="s">
        <v>34</v>
      </c>
      <c r="H6" s="24" t="s">
        <v>34</v>
      </c>
      <c r="I6" s="42"/>
      <c r="J6" s="42"/>
      <c r="K6" s="43" t="str">
        <f>"200,0"</f>
        <v>200,0</v>
      </c>
      <c r="L6" s="44" t="str">
        <f>"112,7200"</f>
        <v>112,7200</v>
      </c>
      <c r="M6" s="23"/>
    </row>
    <row r="7" s="3" customFormat="1" spans="1:13">
      <c r="A7" s="25" t="s">
        <v>840</v>
      </c>
      <c r="B7" s="26" t="s">
        <v>844</v>
      </c>
      <c r="C7" s="26" t="s">
        <v>711</v>
      </c>
      <c r="D7" s="26" t="str">
        <f>"0,5636"</f>
        <v>0,5636</v>
      </c>
      <c r="E7" s="25" t="s">
        <v>16</v>
      </c>
      <c r="F7" s="25" t="s">
        <v>842</v>
      </c>
      <c r="G7" s="45" t="s">
        <v>34</v>
      </c>
      <c r="H7" s="26" t="s">
        <v>34</v>
      </c>
      <c r="I7" s="45"/>
      <c r="J7" s="45"/>
      <c r="K7" s="46" t="str">
        <f>"200,0"</f>
        <v>200,0</v>
      </c>
      <c r="L7" s="47" t="str">
        <f>"155,5536"</f>
        <v>155,5536</v>
      </c>
      <c r="M7" s="25"/>
    </row>
    <row r="9" ht="15.75" spans="5:5">
      <c r="E9" s="27" t="s">
        <v>37</v>
      </c>
    </row>
    <row r="10" ht="15.75" spans="5:5">
      <c r="E10" s="27" t="s">
        <v>38</v>
      </c>
    </row>
    <row r="11" ht="15.75" spans="5:5">
      <c r="E11" s="27" t="s">
        <v>39</v>
      </c>
    </row>
    <row r="12" spans="5:5">
      <c r="E12" s="4" t="s">
        <v>40</v>
      </c>
    </row>
    <row r="13" spans="5:5">
      <c r="E13" s="4" t="s">
        <v>41</v>
      </c>
    </row>
    <row r="14" spans="5:5">
      <c r="E14" s="4" t="s">
        <v>42</v>
      </c>
    </row>
    <row r="17" ht="18.75" spans="1:2">
      <c r="A17" s="28" t="s">
        <v>43</v>
      </c>
      <c r="B17" s="29"/>
    </row>
    <row r="18" ht="15.75" spans="1:2">
      <c r="A18" s="30" t="s">
        <v>44</v>
      </c>
      <c r="B18" s="21"/>
    </row>
    <row r="19" ht="15" spans="1:2">
      <c r="A19" s="31"/>
      <c r="B19" s="32" t="s">
        <v>45</v>
      </c>
    </row>
    <row r="20" ht="14.25" spans="1:5">
      <c r="A20" s="33" t="s">
        <v>1</v>
      </c>
      <c r="B20" s="33" t="s">
        <v>46</v>
      </c>
      <c r="C20" s="33" t="s">
        <v>47</v>
      </c>
      <c r="D20" s="33" t="s">
        <v>48</v>
      </c>
      <c r="E20" s="33" t="s">
        <v>328</v>
      </c>
    </row>
    <row r="21" spans="1:5">
      <c r="A21" s="34" t="s">
        <v>845</v>
      </c>
      <c r="B21" s="3" t="s">
        <v>45</v>
      </c>
      <c r="C21" s="3" t="s">
        <v>64</v>
      </c>
      <c r="D21" s="3" t="s">
        <v>34</v>
      </c>
      <c r="E21" s="5" t="s">
        <v>849</v>
      </c>
    </row>
    <row r="23" ht="15" spans="1:2">
      <c r="A23" s="31"/>
      <c r="B23" s="32" t="s">
        <v>139</v>
      </c>
    </row>
    <row r="24" ht="14.25" spans="1:5">
      <c r="A24" s="33" t="s">
        <v>1</v>
      </c>
      <c r="B24" s="33" t="s">
        <v>46</v>
      </c>
      <c r="C24" s="33" t="s">
        <v>47</v>
      </c>
      <c r="D24" s="33" t="s">
        <v>48</v>
      </c>
      <c r="E24" s="33" t="s">
        <v>328</v>
      </c>
    </row>
    <row r="25" spans="1:5">
      <c r="A25" s="34" t="s">
        <v>845</v>
      </c>
      <c r="B25" s="3" t="s">
        <v>241</v>
      </c>
      <c r="C25" s="3" t="s">
        <v>64</v>
      </c>
      <c r="D25" s="3" t="s">
        <v>34</v>
      </c>
      <c r="E25" s="5" t="s">
        <v>850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Лист5">
    <pageSetUpPr fitToPage="1"/>
  </sheetPr>
  <dimension ref="A1:M33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30.2222222222222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851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328</v>
      </c>
      <c r="E3" s="14" t="s">
        <v>5</v>
      </c>
      <c r="F3" s="14" t="s">
        <v>6</v>
      </c>
      <c r="G3" s="14" t="s">
        <v>406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116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852</v>
      </c>
      <c r="B6" s="20" t="s">
        <v>853</v>
      </c>
      <c r="C6" s="20" t="s">
        <v>854</v>
      </c>
      <c r="D6" s="20" t="str">
        <f>"0,5922"</f>
        <v>0,5922</v>
      </c>
      <c r="E6" s="19" t="s">
        <v>16</v>
      </c>
      <c r="F6" s="19" t="s">
        <v>806</v>
      </c>
      <c r="G6" s="20" t="s">
        <v>35</v>
      </c>
      <c r="H6" s="20" t="s">
        <v>855</v>
      </c>
      <c r="I6" s="20" t="s">
        <v>722</v>
      </c>
      <c r="J6" s="39"/>
      <c r="K6" s="40" t="str">
        <f>"265,0"</f>
        <v>265,0</v>
      </c>
      <c r="L6" s="41" t="str">
        <f>"156,9330"</f>
        <v>156,9330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56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840</v>
      </c>
      <c r="B9" s="24" t="s">
        <v>841</v>
      </c>
      <c r="C9" s="24" t="s">
        <v>711</v>
      </c>
      <c r="D9" s="24" t="str">
        <f>"0,5636"</f>
        <v>0,5636</v>
      </c>
      <c r="E9" s="23" t="s">
        <v>16</v>
      </c>
      <c r="F9" s="23" t="s">
        <v>842</v>
      </c>
      <c r="G9" s="24" t="s">
        <v>450</v>
      </c>
      <c r="H9" s="24" t="s">
        <v>34</v>
      </c>
      <c r="I9" s="42"/>
      <c r="J9" s="42"/>
      <c r="K9" s="43" t="str">
        <f>"200,0"</f>
        <v>200,0</v>
      </c>
      <c r="L9" s="44" t="str">
        <f>"112,7200"</f>
        <v>112,7200</v>
      </c>
      <c r="M9" s="23"/>
    </row>
    <row r="10" spans="1:13">
      <c r="A10" s="25" t="s">
        <v>840</v>
      </c>
      <c r="B10" s="26" t="s">
        <v>844</v>
      </c>
      <c r="C10" s="26" t="s">
        <v>711</v>
      </c>
      <c r="D10" s="26" t="str">
        <f>"0,5636"</f>
        <v>0,5636</v>
      </c>
      <c r="E10" s="25" t="s">
        <v>16</v>
      </c>
      <c r="F10" s="25" t="s">
        <v>842</v>
      </c>
      <c r="G10" s="26" t="s">
        <v>450</v>
      </c>
      <c r="H10" s="26" t="s">
        <v>34</v>
      </c>
      <c r="I10" s="45"/>
      <c r="J10" s="45"/>
      <c r="K10" s="46" t="str">
        <f>"200,0"</f>
        <v>200,0</v>
      </c>
      <c r="L10" s="47" t="str">
        <f>"155,5536"</f>
        <v>155,5536</v>
      </c>
      <c r="M10" s="25"/>
    </row>
    <row r="12" ht="15.75" spans="1:10">
      <c r="A12" s="21" t="s">
        <v>856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19" t="s">
        <v>857</v>
      </c>
      <c r="B13" s="20" t="s">
        <v>858</v>
      </c>
      <c r="C13" s="20" t="s">
        <v>859</v>
      </c>
      <c r="D13" s="20" t="str">
        <f>"0,5016"</f>
        <v>0,5016</v>
      </c>
      <c r="E13" s="19" t="s">
        <v>16</v>
      </c>
      <c r="F13" s="19" t="s">
        <v>860</v>
      </c>
      <c r="G13" s="20" t="s">
        <v>452</v>
      </c>
      <c r="H13" s="20" t="s">
        <v>861</v>
      </c>
      <c r="I13" s="20" t="s">
        <v>855</v>
      </c>
      <c r="J13" s="39"/>
      <c r="K13" s="40" t="str">
        <f>"245,0"</f>
        <v>245,0</v>
      </c>
      <c r="L13" s="41" t="str">
        <f>"131,3716"</f>
        <v>131,3716</v>
      </c>
      <c r="M13" s="19"/>
    </row>
    <row r="15" ht="15.75" spans="5:5">
      <c r="E15" s="27" t="s">
        <v>37</v>
      </c>
    </row>
    <row r="16" ht="15.75" spans="5:5">
      <c r="E16" s="27" t="s">
        <v>38</v>
      </c>
    </row>
    <row r="17" ht="15.75" spans="5:5">
      <c r="E17" s="27" t="s">
        <v>39</v>
      </c>
    </row>
    <row r="18" spans="5:5">
      <c r="E18" s="4" t="s">
        <v>40</v>
      </c>
    </row>
    <row r="19" spans="5:5">
      <c r="E19" s="4" t="s">
        <v>41</v>
      </c>
    </row>
    <row r="20" spans="5:5">
      <c r="E20" s="4" t="s">
        <v>42</v>
      </c>
    </row>
    <row r="23" ht="18.75" spans="1:2">
      <c r="A23" s="28" t="s">
        <v>43</v>
      </c>
      <c r="B23" s="29"/>
    </row>
    <row r="24" ht="15.75" spans="1:2">
      <c r="A24" s="30" t="s">
        <v>44</v>
      </c>
      <c r="B24" s="21"/>
    </row>
    <row r="25" ht="15" spans="1:2">
      <c r="A25" s="31"/>
      <c r="B25" s="32" t="s">
        <v>45</v>
      </c>
    </row>
    <row r="26" ht="14.25" spans="1:5">
      <c r="A26" s="33" t="s">
        <v>1</v>
      </c>
      <c r="B26" s="33" t="s">
        <v>46</v>
      </c>
      <c r="C26" s="33" t="s">
        <v>47</v>
      </c>
      <c r="D26" s="33" t="s">
        <v>48</v>
      </c>
      <c r="E26" s="33" t="s">
        <v>328</v>
      </c>
    </row>
    <row r="27" spans="1:5">
      <c r="A27" s="34" t="s">
        <v>862</v>
      </c>
      <c r="B27" s="3" t="s">
        <v>45</v>
      </c>
      <c r="C27" s="3" t="s">
        <v>153</v>
      </c>
      <c r="D27" s="3" t="s">
        <v>722</v>
      </c>
      <c r="E27" s="5" t="s">
        <v>863</v>
      </c>
    </row>
    <row r="28" spans="1:5">
      <c r="A28" s="34" t="s">
        <v>845</v>
      </c>
      <c r="B28" s="3" t="s">
        <v>45</v>
      </c>
      <c r="C28" s="3" t="s">
        <v>64</v>
      </c>
      <c r="D28" s="3" t="s">
        <v>34</v>
      </c>
      <c r="E28" s="5" t="s">
        <v>849</v>
      </c>
    </row>
    <row r="30" ht="15" spans="1:2">
      <c r="A30" s="31"/>
      <c r="B30" s="32" t="s">
        <v>139</v>
      </c>
    </row>
    <row r="31" ht="14.25" spans="1:5">
      <c r="A31" s="33" t="s">
        <v>1</v>
      </c>
      <c r="B31" s="33" t="s">
        <v>46</v>
      </c>
      <c r="C31" s="33" t="s">
        <v>47</v>
      </c>
      <c r="D31" s="33" t="s">
        <v>48</v>
      </c>
      <c r="E31" s="33" t="s">
        <v>328</v>
      </c>
    </row>
    <row r="32" spans="1:5">
      <c r="A32" s="34" t="s">
        <v>845</v>
      </c>
      <c r="B32" s="3" t="s">
        <v>241</v>
      </c>
      <c r="C32" s="3" t="s">
        <v>64</v>
      </c>
      <c r="D32" s="3" t="s">
        <v>34</v>
      </c>
      <c r="E32" s="5" t="s">
        <v>850</v>
      </c>
    </row>
    <row r="33" spans="1:5">
      <c r="A33" s="34" t="s">
        <v>864</v>
      </c>
      <c r="B33" s="3" t="s">
        <v>244</v>
      </c>
      <c r="C33" s="3" t="s">
        <v>865</v>
      </c>
      <c r="D33" s="3" t="s">
        <v>855</v>
      </c>
      <c r="E33" s="5" t="s">
        <v>866</v>
      </c>
    </row>
  </sheetData>
  <mergeCells count="14">
    <mergeCell ref="G3:J3"/>
    <mergeCell ref="A5:J5"/>
    <mergeCell ref="A8:J8"/>
    <mergeCell ref="A12:J1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196850393700787" right="0.47244094488189" top="0.433070866141732" bottom="0.47244094488189" header="0.511811023622047" footer="0.511811023622047"/>
  <pageSetup paperSize="1" scale="65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3.8888888888889" style="4" customWidth="1"/>
    <col min="7" max="7" width="7.77777777777778" style="3" customWidth="1"/>
    <col min="8" max="8" width="4.55555555555556" style="3" customWidth="1"/>
    <col min="9" max="9" width="5.77777777777778" style="5" customWidth="1"/>
    <col min="10" max="10" width="8.55555555555556" style="6" customWidth="1"/>
    <col min="11" max="11" width="7.11111111111111" style="4" customWidth="1"/>
    <col min="12" max="16384" width="9.11111111111111" style="7"/>
  </cols>
  <sheetData>
    <row r="1" s="1" customFormat="1" ht="28.95" customHeight="1" spans="1:11">
      <c r="A1" s="8" t="s">
        <v>66</v>
      </c>
      <c r="B1" s="9"/>
      <c r="C1" s="9"/>
      <c r="D1" s="9"/>
      <c r="E1" s="9"/>
      <c r="F1" s="9"/>
      <c r="G1" s="9"/>
      <c r="H1" s="9"/>
      <c r="I1" s="9"/>
      <c r="J1" s="9"/>
      <c r="K1" s="35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36"/>
    </row>
    <row r="3" s="2" customFormat="1" customHeight="1" spans="1:1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67</v>
      </c>
      <c r="H3" s="14"/>
      <c r="I3" s="14" t="s">
        <v>68</v>
      </c>
      <c r="J3" s="14" t="s">
        <v>9</v>
      </c>
      <c r="K3" s="37" t="s">
        <v>10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69</v>
      </c>
      <c r="H4" s="16" t="s">
        <v>70</v>
      </c>
      <c r="I4" s="16"/>
      <c r="J4" s="16"/>
      <c r="K4" s="38"/>
    </row>
    <row r="5" s="3" customFormat="1" ht="15.75" spans="1:11">
      <c r="A5" s="17" t="s">
        <v>71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19" t="s">
        <v>72</v>
      </c>
      <c r="B6" s="20" t="s">
        <v>73</v>
      </c>
      <c r="C6" s="20" t="s">
        <v>74</v>
      </c>
      <c r="D6" s="20" t="str">
        <f>"1,1846"</f>
        <v>1,1846</v>
      </c>
      <c r="E6" s="19" t="s">
        <v>16</v>
      </c>
      <c r="F6" s="19" t="s">
        <v>17</v>
      </c>
      <c r="G6" s="20" t="s">
        <v>75</v>
      </c>
      <c r="H6" s="20" t="s">
        <v>76</v>
      </c>
      <c r="I6" s="40" t="str">
        <f>"800,0"</f>
        <v>800,0</v>
      </c>
      <c r="J6" s="41" t="str">
        <f>"947,6800"</f>
        <v>947,6800</v>
      </c>
      <c r="K6" s="19"/>
    </row>
    <row r="7" s="3" customFormat="1" spans="1:11">
      <c r="A7" s="4"/>
      <c r="E7" s="4"/>
      <c r="F7" s="4"/>
      <c r="I7" s="5"/>
      <c r="J7" s="6"/>
      <c r="K7" s="4"/>
    </row>
    <row r="8" ht="15.75" spans="5:5">
      <c r="E8" s="27" t="s">
        <v>37</v>
      </c>
    </row>
    <row r="9" ht="15.75" spans="5:5">
      <c r="E9" s="27" t="s">
        <v>38</v>
      </c>
    </row>
    <row r="10" ht="15.75" spans="5:5">
      <c r="E10" s="27" t="s">
        <v>39</v>
      </c>
    </row>
    <row r="11" spans="5:5">
      <c r="E11" s="4" t="s">
        <v>40</v>
      </c>
    </row>
    <row r="12" spans="5:5">
      <c r="E12" s="4" t="s">
        <v>41</v>
      </c>
    </row>
    <row r="13" spans="5:5">
      <c r="E13" s="4" t="s">
        <v>42</v>
      </c>
    </row>
    <row r="16" ht="18.75" spans="1:2">
      <c r="A16" s="28" t="s">
        <v>43</v>
      </c>
      <c r="B16" s="29"/>
    </row>
    <row r="17" ht="15.75" spans="1:2">
      <c r="A17" s="30" t="s">
        <v>77</v>
      </c>
      <c r="B17" s="21"/>
    </row>
    <row r="18" ht="15" spans="1:2">
      <c r="A18" s="31"/>
      <c r="B18" s="32" t="s">
        <v>45</v>
      </c>
    </row>
    <row r="19" ht="14.25" spans="1:5">
      <c r="A19" s="33" t="s">
        <v>1</v>
      </c>
      <c r="B19" s="33" t="s">
        <v>46</v>
      </c>
      <c r="C19" s="33" t="s">
        <v>47</v>
      </c>
      <c r="D19" s="33" t="s">
        <v>48</v>
      </c>
      <c r="E19" s="33" t="s">
        <v>4</v>
      </c>
    </row>
    <row r="20" spans="1:5">
      <c r="A20" s="34" t="s">
        <v>78</v>
      </c>
      <c r="B20" s="3" t="s">
        <v>45</v>
      </c>
      <c r="C20" s="3" t="s">
        <v>79</v>
      </c>
      <c r="D20" s="3" t="s">
        <v>80</v>
      </c>
      <c r="E20" s="5" t="s">
        <v>81</v>
      </c>
    </row>
  </sheetData>
  <mergeCells count="12">
    <mergeCell ref="G3:H3"/>
    <mergeCell ref="A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24.4444444444444" style="4" customWidth="1"/>
    <col min="6" max="6" width="27.2222222222222" style="4" customWidth="1"/>
    <col min="7" max="7" width="7.77777777777778" style="3" customWidth="1"/>
    <col min="8" max="8" width="4.55555555555556" style="3" customWidth="1"/>
    <col min="9" max="9" width="6.55555555555556" style="5" customWidth="1"/>
    <col min="10" max="10" width="9.55555555555556" style="6" customWidth="1"/>
    <col min="11" max="11" width="7.11111111111111" style="4" customWidth="1"/>
    <col min="12" max="16384" width="9.11111111111111" style="7"/>
  </cols>
  <sheetData>
    <row r="1" s="1" customFormat="1" ht="28.95" customHeight="1" spans="1:11">
      <c r="A1" s="8" t="s">
        <v>82</v>
      </c>
      <c r="B1" s="9"/>
      <c r="C1" s="9"/>
      <c r="D1" s="9"/>
      <c r="E1" s="9"/>
      <c r="F1" s="9"/>
      <c r="G1" s="9"/>
      <c r="H1" s="9"/>
      <c r="I1" s="9"/>
      <c r="J1" s="9"/>
      <c r="K1" s="35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36"/>
    </row>
    <row r="3" s="2" customFormat="1" customHeight="1" spans="1:1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67</v>
      </c>
      <c r="H3" s="14"/>
      <c r="I3" s="14" t="s">
        <v>68</v>
      </c>
      <c r="J3" s="14" t="s">
        <v>9</v>
      </c>
      <c r="K3" s="37" t="s">
        <v>10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69</v>
      </c>
      <c r="H4" s="16" t="s">
        <v>70</v>
      </c>
      <c r="I4" s="16"/>
      <c r="J4" s="16"/>
      <c r="K4" s="38"/>
    </row>
    <row r="5" s="3" customFormat="1" ht="15.75" spans="1:11">
      <c r="A5" s="17" t="s">
        <v>83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23" t="s">
        <v>84</v>
      </c>
      <c r="B6" s="24" t="s">
        <v>85</v>
      </c>
      <c r="C6" s="24" t="s">
        <v>86</v>
      </c>
      <c r="D6" s="24" t="str">
        <f>"0,9266"</f>
        <v>0,9266</v>
      </c>
      <c r="E6" s="23" t="s">
        <v>87</v>
      </c>
      <c r="F6" s="23" t="s">
        <v>17</v>
      </c>
      <c r="G6" s="24" t="s">
        <v>88</v>
      </c>
      <c r="H6" s="24" t="s">
        <v>75</v>
      </c>
      <c r="I6" s="43" t="str">
        <f>"1625,0"</f>
        <v>1625,0</v>
      </c>
      <c r="J6" s="44" t="str">
        <f>"1505,8062"</f>
        <v>1505,8062</v>
      </c>
      <c r="K6" s="23"/>
    </row>
    <row r="7" s="3" customFormat="1" spans="1:11">
      <c r="A7" s="25" t="s">
        <v>84</v>
      </c>
      <c r="B7" s="26" t="s">
        <v>89</v>
      </c>
      <c r="C7" s="26" t="s">
        <v>86</v>
      </c>
      <c r="D7" s="26" t="str">
        <f>"0,9266"</f>
        <v>0,9266</v>
      </c>
      <c r="E7" s="25" t="s">
        <v>87</v>
      </c>
      <c r="F7" s="25" t="s">
        <v>17</v>
      </c>
      <c r="G7" s="26" t="s">
        <v>88</v>
      </c>
      <c r="H7" s="26" t="s">
        <v>75</v>
      </c>
      <c r="I7" s="46" t="str">
        <f>"1625,0"</f>
        <v>1625,0</v>
      </c>
      <c r="J7" s="47" t="str">
        <f>"1505,8062"</f>
        <v>1505,8062</v>
      </c>
      <c r="K7" s="25"/>
    </row>
    <row r="9" ht="15.75" spans="1:8">
      <c r="A9" s="21" t="s">
        <v>83</v>
      </c>
      <c r="B9" s="22"/>
      <c r="C9" s="22"/>
      <c r="D9" s="22"/>
      <c r="E9" s="22"/>
      <c r="F9" s="22"/>
      <c r="G9" s="22"/>
      <c r="H9" s="22"/>
    </row>
    <row r="10" spans="1:11">
      <c r="A10" s="19" t="s">
        <v>90</v>
      </c>
      <c r="B10" s="20" t="s">
        <v>91</v>
      </c>
      <c r="C10" s="20" t="s">
        <v>92</v>
      </c>
      <c r="D10" s="20" t="str">
        <f>"0,7561"</f>
        <v>0,7561</v>
      </c>
      <c r="E10" s="19" t="s">
        <v>16</v>
      </c>
      <c r="F10" s="19" t="s">
        <v>17</v>
      </c>
      <c r="G10" s="20" t="s">
        <v>93</v>
      </c>
      <c r="H10" s="20" t="s">
        <v>94</v>
      </c>
      <c r="I10" s="40" t="str">
        <f>"2295,0"</f>
        <v>2295,0</v>
      </c>
      <c r="J10" s="41" t="str">
        <f>"1735,2495"</f>
        <v>1735,2495</v>
      </c>
      <c r="K10" s="19"/>
    </row>
    <row r="12" ht="15.75" spans="1:8">
      <c r="A12" s="21" t="s">
        <v>12</v>
      </c>
      <c r="B12" s="22"/>
      <c r="C12" s="22"/>
      <c r="D12" s="22"/>
      <c r="E12" s="22"/>
      <c r="F12" s="22"/>
      <c r="G12" s="22"/>
      <c r="H12" s="22"/>
    </row>
    <row r="13" spans="1:11">
      <c r="A13" s="23" t="s">
        <v>95</v>
      </c>
      <c r="B13" s="24" t="s">
        <v>96</v>
      </c>
      <c r="C13" s="24" t="s">
        <v>97</v>
      </c>
      <c r="D13" s="24" t="str">
        <f>"0,7086"</f>
        <v>0,7086</v>
      </c>
      <c r="E13" s="23" t="s">
        <v>16</v>
      </c>
      <c r="F13" s="23" t="s">
        <v>17</v>
      </c>
      <c r="G13" s="24" t="s">
        <v>98</v>
      </c>
      <c r="H13" s="24" t="s">
        <v>75</v>
      </c>
      <c r="I13" s="43" t="str">
        <f>"1812,5"</f>
        <v>1812,5</v>
      </c>
      <c r="J13" s="44" t="str">
        <f>"1658,1967"</f>
        <v>1658,1967</v>
      </c>
      <c r="K13" s="23"/>
    </row>
    <row r="14" spans="1:11">
      <c r="A14" s="25" t="s">
        <v>99</v>
      </c>
      <c r="B14" s="26" t="s">
        <v>100</v>
      </c>
      <c r="C14" s="26" t="s">
        <v>101</v>
      </c>
      <c r="D14" s="26" t="str">
        <f>"0,6934"</f>
        <v>0,6934</v>
      </c>
      <c r="E14" s="25" t="s">
        <v>16</v>
      </c>
      <c r="F14" s="25" t="s">
        <v>102</v>
      </c>
      <c r="G14" s="26" t="s">
        <v>103</v>
      </c>
      <c r="H14" s="26" t="s">
        <v>104</v>
      </c>
      <c r="I14" s="46" t="str">
        <f>"975,0"</f>
        <v>975,0</v>
      </c>
      <c r="J14" s="47" t="str">
        <f>"980,2236"</f>
        <v>980,2236</v>
      </c>
      <c r="K14" s="25"/>
    </row>
    <row r="16" ht="15.75" spans="1:8">
      <c r="A16" s="21" t="s">
        <v>21</v>
      </c>
      <c r="B16" s="22"/>
      <c r="C16" s="22"/>
      <c r="D16" s="22"/>
      <c r="E16" s="22"/>
      <c r="F16" s="22"/>
      <c r="G16" s="22"/>
      <c r="H16" s="22"/>
    </row>
    <row r="17" spans="1:11">
      <c r="A17" s="23" t="s">
        <v>105</v>
      </c>
      <c r="B17" s="24" t="s">
        <v>106</v>
      </c>
      <c r="C17" s="24" t="s">
        <v>107</v>
      </c>
      <c r="D17" s="24" t="str">
        <f>"0,6606"</f>
        <v>0,6606</v>
      </c>
      <c r="E17" s="23" t="s">
        <v>16</v>
      </c>
      <c r="F17" s="23" t="s">
        <v>108</v>
      </c>
      <c r="G17" s="24" t="s">
        <v>109</v>
      </c>
      <c r="H17" s="24" t="s">
        <v>110</v>
      </c>
      <c r="I17" s="43" t="str">
        <f>"2080,0"</f>
        <v>2080,0</v>
      </c>
      <c r="J17" s="44" t="str">
        <f>"1374,0480"</f>
        <v>1374,0480</v>
      </c>
      <c r="K17" s="23"/>
    </row>
    <row r="18" spans="1:11">
      <c r="A18" s="25" t="s">
        <v>111</v>
      </c>
      <c r="B18" s="26" t="s">
        <v>112</v>
      </c>
      <c r="C18" s="26" t="s">
        <v>113</v>
      </c>
      <c r="D18" s="26" t="str">
        <f>"0,6545"</f>
        <v>0,6545</v>
      </c>
      <c r="E18" s="25" t="s">
        <v>16</v>
      </c>
      <c r="F18" s="25" t="s">
        <v>17</v>
      </c>
      <c r="G18" s="26" t="s">
        <v>114</v>
      </c>
      <c r="H18" s="26" t="s">
        <v>115</v>
      </c>
      <c r="I18" s="46" t="str">
        <f>"2392,5"</f>
        <v>2392,5</v>
      </c>
      <c r="J18" s="47" t="str">
        <f>"1565,8913"</f>
        <v>1565,8913</v>
      </c>
      <c r="K18" s="25"/>
    </row>
    <row r="20" ht="15.75" spans="1:8">
      <c r="A20" s="21" t="s">
        <v>116</v>
      </c>
      <c r="B20" s="22"/>
      <c r="C20" s="22"/>
      <c r="D20" s="22"/>
      <c r="E20" s="22"/>
      <c r="F20" s="22"/>
      <c r="G20" s="22"/>
      <c r="H20" s="22"/>
    </row>
    <row r="21" spans="1:11">
      <c r="A21" s="23" t="s">
        <v>117</v>
      </c>
      <c r="B21" s="24" t="s">
        <v>118</v>
      </c>
      <c r="C21" s="24" t="s">
        <v>119</v>
      </c>
      <c r="D21" s="24" t="str">
        <f>"0,6392"</f>
        <v>0,6392</v>
      </c>
      <c r="E21" s="23" t="s">
        <v>87</v>
      </c>
      <c r="F21" s="23" t="s">
        <v>17</v>
      </c>
      <c r="G21" s="24" t="s">
        <v>120</v>
      </c>
      <c r="H21" s="24" t="s">
        <v>121</v>
      </c>
      <c r="I21" s="43" t="str">
        <f>"2295,0"</f>
        <v>2295,0</v>
      </c>
      <c r="J21" s="44" t="str">
        <f>"1466,9639"</f>
        <v>1466,9639</v>
      </c>
      <c r="K21" s="23"/>
    </row>
    <row r="22" spans="1:11">
      <c r="A22" s="25" t="s">
        <v>122</v>
      </c>
      <c r="B22" s="26" t="s">
        <v>123</v>
      </c>
      <c r="C22" s="26" t="s">
        <v>124</v>
      </c>
      <c r="D22" s="26" t="str">
        <f>"0,6145"</f>
        <v>0,6145</v>
      </c>
      <c r="E22" s="25" t="s">
        <v>16</v>
      </c>
      <c r="F22" s="25" t="s">
        <v>125</v>
      </c>
      <c r="G22" s="26" t="s">
        <v>126</v>
      </c>
      <c r="H22" s="26" t="s">
        <v>127</v>
      </c>
      <c r="I22" s="46" t="str">
        <f>"1620,0"</f>
        <v>1620,0</v>
      </c>
      <c r="J22" s="47" t="str">
        <f>"1005,5267"</f>
        <v>1005,5267</v>
      </c>
      <c r="K22" s="25"/>
    </row>
    <row r="24" ht="15.75" spans="1:8">
      <c r="A24" s="21" t="s">
        <v>56</v>
      </c>
      <c r="B24" s="22"/>
      <c r="C24" s="22"/>
      <c r="D24" s="22"/>
      <c r="E24" s="22"/>
      <c r="F24" s="22"/>
      <c r="G24" s="22"/>
      <c r="H24" s="22"/>
    </row>
    <row r="25" spans="1:11">
      <c r="A25" s="23" t="s">
        <v>128</v>
      </c>
      <c r="B25" s="24" t="s">
        <v>129</v>
      </c>
      <c r="C25" s="24" t="s">
        <v>130</v>
      </c>
      <c r="D25" s="24" t="str">
        <f>"0,5846"</f>
        <v>0,5846</v>
      </c>
      <c r="E25" s="23" t="s">
        <v>16</v>
      </c>
      <c r="F25" s="23" t="s">
        <v>131</v>
      </c>
      <c r="G25" s="24" t="s">
        <v>132</v>
      </c>
      <c r="H25" s="24" t="s">
        <v>133</v>
      </c>
      <c r="I25" s="43" t="str">
        <f>"1700,0"</f>
        <v>1700,0</v>
      </c>
      <c r="J25" s="44" t="str">
        <f>"993,7350"</f>
        <v>993,7350</v>
      </c>
      <c r="K25" s="23"/>
    </row>
    <row r="26" spans="1:11">
      <c r="A26" s="25" t="s">
        <v>128</v>
      </c>
      <c r="B26" s="26" t="s">
        <v>134</v>
      </c>
      <c r="C26" s="26" t="s">
        <v>130</v>
      </c>
      <c r="D26" s="26" t="str">
        <f>"0,5846"</f>
        <v>0,5846</v>
      </c>
      <c r="E26" s="25" t="s">
        <v>16</v>
      </c>
      <c r="F26" s="25" t="s">
        <v>131</v>
      </c>
      <c r="G26" s="26" t="s">
        <v>132</v>
      </c>
      <c r="H26" s="26" t="s">
        <v>133</v>
      </c>
      <c r="I26" s="46" t="str">
        <f>"1700,0"</f>
        <v>1700,0</v>
      </c>
      <c r="J26" s="47" t="str">
        <f>"1013,6097"</f>
        <v>1013,6097</v>
      </c>
      <c r="K26" s="25"/>
    </row>
    <row r="28" ht="15.75" spans="5:5">
      <c r="E28" s="27" t="s">
        <v>37</v>
      </c>
    </row>
    <row r="29" ht="15.75" spans="5:5">
      <c r="E29" s="27" t="s">
        <v>38</v>
      </c>
    </row>
    <row r="30" ht="15.75" spans="5:5">
      <c r="E30" s="27" t="s">
        <v>39</v>
      </c>
    </row>
    <row r="31" spans="5:5">
      <c r="E31" s="4" t="s">
        <v>40</v>
      </c>
    </row>
    <row r="32" spans="5:5">
      <c r="E32" s="4" t="s">
        <v>41</v>
      </c>
    </row>
    <row r="33" spans="5:5">
      <c r="E33" s="4" t="s">
        <v>42</v>
      </c>
    </row>
    <row r="36" ht="18.75" spans="1:2">
      <c r="A36" s="28" t="s">
        <v>43</v>
      </c>
      <c r="B36" s="29"/>
    </row>
    <row r="37" ht="15.75" spans="1:2">
      <c r="A37" s="30" t="s">
        <v>77</v>
      </c>
      <c r="B37" s="21"/>
    </row>
    <row r="38" ht="15" spans="1:2">
      <c r="A38" s="31"/>
      <c r="B38" s="32" t="s">
        <v>45</v>
      </c>
    </row>
    <row r="39" ht="14.25" spans="1:5">
      <c r="A39" s="33" t="s">
        <v>1</v>
      </c>
      <c r="B39" s="33" t="s">
        <v>46</v>
      </c>
      <c r="C39" s="33" t="s">
        <v>47</v>
      </c>
      <c r="D39" s="33" t="s">
        <v>48</v>
      </c>
      <c r="E39" s="33" t="s">
        <v>4</v>
      </c>
    </row>
    <row r="40" spans="1:5">
      <c r="A40" s="34" t="s">
        <v>135</v>
      </c>
      <c r="B40" s="3" t="s">
        <v>45</v>
      </c>
      <c r="C40" s="3" t="s">
        <v>136</v>
      </c>
      <c r="D40" s="3" t="s">
        <v>137</v>
      </c>
      <c r="E40" s="5" t="s">
        <v>138</v>
      </c>
    </row>
    <row r="42" ht="15" spans="1:2">
      <c r="A42" s="31"/>
      <c r="B42" s="32" t="s">
        <v>139</v>
      </c>
    </row>
    <row r="43" ht="14.25" spans="1:5">
      <c r="A43" s="33" t="s">
        <v>1</v>
      </c>
      <c r="B43" s="33" t="s">
        <v>46</v>
      </c>
      <c r="C43" s="33" t="s">
        <v>47</v>
      </c>
      <c r="D43" s="33" t="s">
        <v>48</v>
      </c>
      <c r="E43" s="33" t="s">
        <v>4</v>
      </c>
    </row>
    <row r="44" spans="1:5">
      <c r="A44" s="34" t="s">
        <v>135</v>
      </c>
      <c r="B44" s="3" t="s">
        <v>140</v>
      </c>
      <c r="C44" s="3" t="s">
        <v>136</v>
      </c>
      <c r="D44" s="3" t="s">
        <v>137</v>
      </c>
      <c r="E44" s="5" t="s">
        <v>138</v>
      </c>
    </row>
    <row r="47" ht="15.75" spans="1:2">
      <c r="A47" s="30" t="s">
        <v>44</v>
      </c>
      <c r="B47" s="21"/>
    </row>
    <row r="48" ht="15" spans="1:2">
      <c r="A48" s="31"/>
      <c r="B48" s="32" t="s">
        <v>141</v>
      </c>
    </row>
    <row r="49" ht="14.25" spans="1:5">
      <c r="A49" s="33" t="s">
        <v>1</v>
      </c>
      <c r="B49" s="33" t="s">
        <v>46</v>
      </c>
      <c r="C49" s="33" t="s">
        <v>47</v>
      </c>
      <c r="D49" s="33" t="s">
        <v>48</v>
      </c>
      <c r="E49" s="33" t="s">
        <v>4</v>
      </c>
    </row>
    <row r="50" spans="1:5">
      <c r="A50" s="34" t="s">
        <v>142</v>
      </c>
      <c r="B50" s="3" t="s">
        <v>143</v>
      </c>
      <c r="C50" s="3" t="s">
        <v>53</v>
      </c>
      <c r="D50" s="3" t="s">
        <v>144</v>
      </c>
      <c r="E50" s="5" t="s">
        <v>145</v>
      </c>
    </row>
    <row r="52" ht="15" spans="1:2">
      <c r="A52" s="31"/>
      <c r="B52" s="32" t="s">
        <v>45</v>
      </c>
    </row>
    <row r="53" ht="14.25" spans="1:5">
      <c r="A53" s="33" t="s">
        <v>1</v>
      </c>
      <c r="B53" s="33" t="s">
        <v>46</v>
      </c>
      <c r="C53" s="33" t="s">
        <v>47</v>
      </c>
      <c r="D53" s="33" t="s">
        <v>48</v>
      </c>
      <c r="E53" s="33" t="s">
        <v>4</v>
      </c>
    </row>
    <row r="54" spans="1:5">
      <c r="A54" s="34" t="s">
        <v>146</v>
      </c>
      <c r="B54" s="3" t="s">
        <v>45</v>
      </c>
      <c r="C54" s="3" t="s">
        <v>136</v>
      </c>
      <c r="D54" s="3" t="s">
        <v>147</v>
      </c>
      <c r="E54" s="5" t="s">
        <v>148</v>
      </c>
    </row>
    <row r="55" spans="1:5">
      <c r="A55" s="34" t="s">
        <v>149</v>
      </c>
      <c r="B55" s="3" t="s">
        <v>45</v>
      </c>
      <c r="C55" s="3" t="s">
        <v>53</v>
      </c>
      <c r="D55" s="3" t="s">
        <v>150</v>
      </c>
      <c r="E55" s="5" t="s">
        <v>151</v>
      </c>
    </row>
    <row r="56" spans="1:5">
      <c r="A56" s="34" t="s">
        <v>152</v>
      </c>
      <c r="B56" s="3" t="s">
        <v>45</v>
      </c>
      <c r="C56" s="3" t="s">
        <v>153</v>
      </c>
      <c r="D56" s="3" t="s">
        <v>147</v>
      </c>
      <c r="E56" s="5" t="s">
        <v>154</v>
      </c>
    </row>
    <row r="57" spans="1:5">
      <c r="A57" s="34" t="s">
        <v>155</v>
      </c>
      <c r="B57" s="3" t="s">
        <v>45</v>
      </c>
      <c r="C57" s="3" t="s">
        <v>64</v>
      </c>
      <c r="D57" s="3" t="s">
        <v>156</v>
      </c>
      <c r="E57" s="5" t="s">
        <v>157</v>
      </c>
    </row>
    <row r="59" ht="15" spans="1:2">
      <c r="A59" s="31"/>
      <c r="B59" s="32" t="s">
        <v>139</v>
      </c>
    </row>
    <row r="60" ht="14.25" spans="1:5">
      <c r="A60" s="33" t="s">
        <v>1</v>
      </c>
      <c r="B60" s="33" t="s">
        <v>46</v>
      </c>
      <c r="C60" s="33" t="s">
        <v>47</v>
      </c>
      <c r="D60" s="33" t="s">
        <v>48</v>
      </c>
      <c r="E60" s="33" t="s">
        <v>4</v>
      </c>
    </row>
    <row r="61" spans="1:5">
      <c r="A61" s="34" t="s">
        <v>158</v>
      </c>
      <c r="B61" s="3" t="s">
        <v>159</v>
      </c>
      <c r="C61" s="3" t="s">
        <v>160</v>
      </c>
      <c r="D61" s="3" t="s">
        <v>161</v>
      </c>
      <c r="E61" s="5" t="s">
        <v>162</v>
      </c>
    </row>
    <row r="62" spans="1:5">
      <c r="A62" s="34" t="s">
        <v>155</v>
      </c>
      <c r="B62" s="3" t="s">
        <v>140</v>
      </c>
      <c r="C62" s="3" t="s">
        <v>64</v>
      </c>
      <c r="D62" s="3" t="s">
        <v>156</v>
      </c>
      <c r="E62" s="5" t="s">
        <v>163</v>
      </c>
    </row>
    <row r="63" spans="1:5">
      <c r="A63" s="34" t="s">
        <v>164</v>
      </c>
      <c r="B63" s="3" t="s">
        <v>140</v>
      </c>
      <c r="C63" s="3" t="s">
        <v>153</v>
      </c>
      <c r="D63" s="3" t="s">
        <v>165</v>
      </c>
      <c r="E63" s="5" t="s">
        <v>166</v>
      </c>
    </row>
    <row r="64" spans="1:5">
      <c r="A64" s="34" t="s">
        <v>167</v>
      </c>
      <c r="B64" s="3" t="s">
        <v>168</v>
      </c>
      <c r="C64" s="3" t="s">
        <v>160</v>
      </c>
      <c r="D64" s="3" t="s">
        <v>169</v>
      </c>
      <c r="E64" s="5" t="s">
        <v>170</v>
      </c>
    </row>
  </sheetData>
  <mergeCells count="17">
    <mergeCell ref="G3:H3"/>
    <mergeCell ref="A5:H5"/>
    <mergeCell ref="A9:H9"/>
    <mergeCell ref="A12:H12"/>
    <mergeCell ref="A16:H16"/>
    <mergeCell ref="A20:H20"/>
    <mergeCell ref="A24:H2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workbookViewId="0">
      <selection activeCell="A1" sqref="A1:K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30.4444444444444" style="4" customWidth="1"/>
    <col min="7" max="7" width="7.77777777777778" style="3" customWidth="1"/>
    <col min="8" max="8" width="4.55555555555556" style="3" customWidth="1"/>
    <col min="9" max="9" width="6.55555555555556" style="5" customWidth="1"/>
    <col min="10" max="10" width="9.55555555555556" style="6" customWidth="1"/>
    <col min="11" max="11" width="7.11111111111111" style="4" customWidth="1"/>
    <col min="12" max="16384" width="9.11111111111111" style="7"/>
  </cols>
  <sheetData>
    <row r="1" s="1" customFormat="1" ht="28.95" customHeight="1" spans="1:11">
      <c r="A1" s="8" t="s">
        <v>171</v>
      </c>
      <c r="B1" s="9"/>
      <c r="C1" s="9"/>
      <c r="D1" s="9"/>
      <c r="E1" s="9"/>
      <c r="F1" s="9"/>
      <c r="G1" s="9"/>
      <c r="H1" s="9"/>
      <c r="I1" s="9"/>
      <c r="J1" s="9"/>
      <c r="K1" s="35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36"/>
    </row>
    <row r="3" s="2" customFormat="1" customHeight="1" spans="1:1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67</v>
      </c>
      <c r="H3" s="14"/>
      <c r="I3" s="14" t="s">
        <v>68</v>
      </c>
      <c r="J3" s="14" t="s">
        <v>9</v>
      </c>
      <c r="K3" s="37" t="s">
        <v>10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69</v>
      </c>
      <c r="H4" s="16" t="s">
        <v>70</v>
      </c>
      <c r="I4" s="16"/>
      <c r="J4" s="16"/>
      <c r="K4" s="38"/>
    </row>
    <row r="5" s="3" customFormat="1" ht="15.75" spans="1:11">
      <c r="A5" s="17" t="s">
        <v>172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19" t="s">
        <v>173</v>
      </c>
      <c r="B6" s="20" t="s">
        <v>174</v>
      </c>
      <c r="C6" s="20" t="s">
        <v>175</v>
      </c>
      <c r="D6" s="20" t="str">
        <f>"1,3437"</f>
        <v>1,3437</v>
      </c>
      <c r="E6" s="19" t="s">
        <v>16</v>
      </c>
      <c r="F6" s="19" t="s">
        <v>17</v>
      </c>
      <c r="G6" s="20" t="s">
        <v>176</v>
      </c>
      <c r="H6" s="20" t="s">
        <v>110</v>
      </c>
      <c r="I6" s="40" t="str">
        <f>"585,0"</f>
        <v>585,0</v>
      </c>
      <c r="J6" s="41" t="str">
        <f>"786,0645"</f>
        <v>786,0645</v>
      </c>
      <c r="K6" s="19"/>
    </row>
    <row r="7" s="3" customFormat="1" spans="1:11">
      <c r="A7" s="4"/>
      <c r="E7" s="4"/>
      <c r="F7" s="4"/>
      <c r="I7" s="5"/>
      <c r="J7" s="6"/>
      <c r="K7" s="4"/>
    </row>
    <row r="8" ht="15.75" spans="1:8">
      <c r="A8" s="21" t="s">
        <v>12</v>
      </c>
      <c r="B8" s="22"/>
      <c r="C8" s="22"/>
      <c r="D8" s="22"/>
      <c r="E8" s="22"/>
      <c r="F8" s="22"/>
      <c r="G8" s="22"/>
      <c r="H8" s="22"/>
    </row>
    <row r="9" spans="1:11">
      <c r="A9" s="23" t="s">
        <v>177</v>
      </c>
      <c r="B9" s="24" t="s">
        <v>178</v>
      </c>
      <c r="C9" s="24" t="s">
        <v>179</v>
      </c>
      <c r="D9" s="24" t="str">
        <f>"0,7438"</f>
        <v>0,7438</v>
      </c>
      <c r="E9" s="23" t="s">
        <v>16</v>
      </c>
      <c r="F9" s="23" t="s">
        <v>180</v>
      </c>
      <c r="G9" s="24" t="s">
        <v>181</v>
      </c>
      <c r="H9" s="24" t="s">
        <v>182</v>
      </c>
      <c r="I9" s="43" t="str">
        <f>"3220,0"</f>
        <v>3220,0</v>
      </c>
      <c r="J9" s="44" t="str">
        <f>"2395,0359"</f>
        <v>2395,0359</v>
      </c>
      <c r="K9" s="23"/>
    </row>
    <row r="10" spans="1:11">
      <c r="A10" s="25" t="s">
        <v>183</v>
      </c>
      <c r="B10" s="26" t="s">
        <v>184</v>
      </c>
      <c r="C10" s="26" t="s">
        <v>185</v>
      </c>
      <c r="D10" s="26" t="str">
        <f>"0,7304"</f>
        <v>0,7304</v>
      </c>
      <c r="E10" s="25" t="s">
        <v>16</v>
      </c>
      <c r="F10" s="25" t="s">
        <v>102</v>
      </c>
      <c r="G10" s="26" t="s">
        <v>181</v>
      </c>
      <c r="H10" s="26" t="s">
        <v>186</v>
      </c>
      <c r="I10" s="46" t="str">
        <f>"3010,0"</f>
        <v>3010,0</v>
      </c>
      <c r="J10" s="47" t="str">
        <f>"2266,8127"</f>
        <v>2266,8127</v>
      </c>
      <c r="K10" s="25"/>
    </row>
    <row r="12" ht="15.75" spans="1:8">
      <c r="A12" s="21" t="s">
        <v>29</v>
      </c>
      <c r="B12" s="22"/>
      <c r="C12" s="22"/>
      <c r="D12" s="22"/>
      <c r="E12" s="22"/>
      <c r="F12" s="22"/>
      <c r="G12" s="22"/>
      <c r="H12" s="22"/>
    </row>
    <row r="13" spans="1:11">
      <c r="A13" s="19" t="s">
        <v>187</v>
      </c>
      <c r="B13" s="20" t="s">
        <v>188</v>
      </c>
      <c r="C13" s="20" t="s">
        <v>189</v>
      </c>
      <c r="D13" s="20" t="str">
        <f>"0,5688"</f>
        <v>0,5688</v>
      </c>
      <c r="E13" s="19" t="s">
        <v>190</v>
      </c>
      <c r="F13" s="19" t="s">
        <v>17</v>
      </c>
      <c r="G13" s="20" t="s">
        <v>191</v>
      </c>
      <c r="H13" s="20" t="s">
        <v>192</v>
      </c>
      <c r="I13" s="40" t="str">
        <f>"2042,5"</f>
        <v>2042,5</v>
      </c>
      <c r="J13" s="41" t="str">
        <f>"1161,8761"</f>
        <v>1161,8761</v>
      </c>
      <c r="K13" s="19"/>
    </row>
    <row r="15" ht="15.75" spans="5:5">
      <c r="E15" s="27" t="s">
        <v>37</v>
      </c>
    </row>
    <row r="16" ht="15.75" spans="5:5">
      <c r="E16" s="27" t="s">
        <v>38</v>
      </c>
    </row>
    <row r="17" ht="15.75" spans="5:5">
      <c r="E17" s="27" t="s">
        <v>39</v>
      </c>
    </row>
    <row r="18" spans="5:5">
      <c r="E18" s="4" t="s">
        <v>40</v>
      </c>
    </row>
    <row r="19" spans="5:5">
      <c r="E19" s="4" t="s">
        <v>41</v>
      </c>
    </row>
    <row r="20" spans="5:5">
      <c r="E20" s="4" t="s">
        <v>42</v>
      </c>
    </row>
    <row r="23" ht="18.75" spans="1:2">
      <c r="A23" s="28" t="s">
        <v>43</v>
      </c>
      <c r="B23" s="29"/>
    </row>
    <row r="24" ht="15.75" spans="1:2">
      <c r="A24" s="30" t="s">
        <v>77</v>
      </c>
      <c r="B24" s="21"/>
    </row>
    <row r="25" ht="15" spans="1:2">
      <c r="A25" s="31"/>
      <c r="B25" s="32" t="s">
        <v>45</v>
      </c>
    </row>
    <row r="26" ht="14.25" spans="1:5">
      <c r="A26" s="33" t="s">
        <v>1</v>
      </c>
      <c r="B26" s="33" t="s">
        <v>46</v>
      </c>
      <c r="C26" s="33" t="s">
        <v>47</v>
      </c>
      <c r="D26" s="33" t="s">
        <v>48</v>
      </c>
      <c r="E26" s="33" t="s">
        <v>4</v>
      </c>
    </row>
    <row r="27" spans="1:5">
      <c r="A27" s="34" t="s">
        <v>193</v>
      </c>
      <c r="B27" s="3" t="s">
        <v>45</v>
      </c>
      <c r="C27" s="3" t="s">
        <v>194</v>
      </c>
      <c r="D27" s="3" t="s">
        <v>195</v>
      </c>
      <c r="E27" s="5" t="s">
        <v>196</v>
      </c>
    </row>
    <row r="30" ht="15.75" spans="1:2">
      <c r="A30" s="30" t="s">
        <v>44</v>
      </c>
      <c r="B30" s="21"/>
    </row>
    <row r="31" ht="15" spans="1:2">
      <c r="A31" s="31"/>
      <c r="B31" s="32" t="s">
        <v>45</v>
      </c>
    </row>
    <row r="32" ht="14.25" spans="1:5">
      <c r="A32" s="33" t="s">
        <v>1</v>
      </c>
      <c r="B32" s="33" t="s">
        <v>46</v>
      </c>
      <c r="C32" s="33" t="s">
        <v>47</v>
      </c>
      <c r="D32" s="33" t="s">
        <v>48</v>
      </c>
      <c r="E32" s="33" t="s">
        <v>4</v>
      </c>
    </row>
    <row r="33" spans="1:5">
      <c r="A33" s="34" t="s">
        <v>197</v>
      </c>
      <c r="B33" s="3" t="s">
        <v>45</v>
      </c>
      <c r="C33" s="3" t="s">
        <v>160</v>
      </c>
      <c r="D33" s="3" t="s">
        <v>198</v>
      </c>
      <c r="E33" s="5" t="s">
        <v>199</v>
      </c>
    </row>
    <row r="34" spans="1:5">
      <c r="A34" s="34" t="s">
        <v>200</v>
      </c>
      <c r="B34" s="3" t="s">
        <v>45</v>
      </c>
      <c r="C34" s="3" t="s">
        <v>50</v>
      </c>
      <c r="D34" s="3" t="s">
        <v>201</v>
      </c>
      <c r="E34" s="5" t="s">
        <v>202</v>
      </c>
    </row>
    <row r="36" ht="15" spans="1:2">
      <c r="A36" s="31"/>
      <c r="B36" s="32" t="s">
        <v>139</v>
      </c>
    </row>
    <row r="37" ht="14.25" spans="1:5">
      <c r="A37" s="33" t="s">
        <v>1</v>
      </c>
      <c r="B37" s="33" t="s">
        <v>46</v>
      </c>
      <c r="C37" s="33" t="s">
        <v>47</v>
      </c>
      <c r="D37" s="33" t="s">
        <v>48</v>
      </c>
      <c r="E37" s="33" t="s">
        <v>4</v>
      </c>
    </row>
    <row r="38" spans="1:5">
      <c r="A38" s="34" t="s">
        <v>203</v>
      </c>
      <c r="B38" s="3" t="s">
        <v>140</v>
      </c>
      <c r="C38" s="3" t="s">
        <v>160</v>
      </c>
      <c r="D38" s="3" t="s">
        <v>204</v>
      </c>
      <c r="E38" s="5" t="s">
        <v>205</v>
      </c>
    </row>
  </sheetData>
  <mergeCells count="14">
    <mergeCell ref="G3:H3"/>
    <mergeCell ref="A5:H5"/>
    <mergeCell ref="A8:H8"/>
    <mergeCell ref="A12:H12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29.6666666666667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207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208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183</v>
      </c>
      <c r="B6" s="20" t="s">
        <v>209</v>
      </c>
      <c r="C6" s="20" t="s">
        <v>210</v>
      </c>
      <c r="D6" s="20" t="str">
        <f>"0,0000"</f>
        <v>0,0000</v>
      </c>
      <c r="E6" s="19" t="s">
        <v>16</v>
      </c>
      <c r="F6" s="19" t="s">
        <v>102</v>
      </c>
      <c r="G6" s="20" t="s">
        <v>211</v>
      </c>
      <c r="H6" s="20" t="s">
        <v>88</v>
      </c>
      <c r="I6" s="39" t="s">
        <v>181</v>
      </c>
      <c r="J6" s="39"/>
      <c r="K6" s="40" t="str">
        <f>"65,0"</f>
        <v>65,0</v>
      </c>
      <c r="L6" s="41" t="str">
        <f>"0,0000"</f>
        <v>0,0000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212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213</v>
      </c>
      <c r="B9" s="24" t="s">
        <v>214</v>
      </c>
      <c r="C9" s="24" t="s">
        <v>215</v>
      </c>
      <c r="D9" s="24" t="str">
        <f>"0,6578"</f>
        <v>0,6578</v>
      </c>
      <c r="E9" s="23" t="s">
        <v>16</v>
      </c>
      <c r="F9" s="23" t="s">
        <v>216</v>
      </c>
      <c r="G9" s="24" t="s">
        <v>217</v>
      </c>
      <c r="H9" s="24" t="s">
        <v>88</v>
      </c>
      <c r="I9" s="24" t="s">
        <v>109</v>
      </c>
      <c r="J9" s="24" t="s">
        <v>120</v>
      </c>
      <c r="K9" s="43" t="str">
        <f>"85,0"</f>
        <v>85,0</v>
      </c>
      <c r="L9" s="44" t="str">
        <f>"55,9130"</f>
        <v>55,9130</v>
      </c>
      <c r="M9" s="23"/>
    </row>
    <row r="10" spans="1:13">
      <c r="A10" s="48" t="s">
        <v>213</v>
      </c>
      <c r="B10" s="49" t="s">
        <v>218</v>
      </c>
      <c r="C10" s="49" t="s">
        <v>215</v>
      </c>
      <c r="D10" s="49" t="str">
        <f>"0,6578"</f>
        <v>0,6578</v>
      </c>
      <c r="E10" s="48" t="s">
        <v>16</v>
      </c>
      <c r="F10" s="48" t="s">
        <v>216</v>
      </c>
      <c r="G10" s="49" t="s">
        <v>217</v>
      </c>
      <c r="H10" s="49" t="s">
        <v>88</v>
      </c>
      <c r="I10" s="49" t="s">
        <v>109</v>
      </c>
      <c r="J10" s="49" t="s">
        <v>120</v>
      </c>
      <c r="K10" s="51" t="str">
        <f>"85,0"</f>
        <v>85,0</v>
      </c>
      <c r="L10" s="52" t="str">
        <f>"55,9130"</f>
        <v>55,9130</v>
      </c>
      <c r="M10" s="48"/>
    </row>
    <row r="11" spans="1:13">
      <c r="A11" s="25" t="s">
        <v>99</v>
      </c>
      <c r="B11" s="26" t="s">
        <v>219</v>
      </c>
      <c r="C11" s="26" t="s">
        <v>101</v>
      </c>
      <c r="D11" s="26" t="str">
        <f>"0,6934"</f>
        <v>0,6934</v>
      </c>
      <c r="E11" s="25" t="s">
        <v>16</v>
      </c>
      <c r="F11" s="25" t="s">
        <v>102</v>
      </c>
      <c r="G11" s="26" t="s">
        <v>211</v>
      </c>
      <c r="H11" s="26" t="s">
        <v>88</v>
      </c>
      <c r="I11" s="26" t="s">
        <v>181</v>
      </c>
      <c r="J11" s="26" t="s">
        <v>103</v>
      </c>
      <c r="K11" s="46" t="str">
        <f>"75,0"</f>
        <v>75,0</v>
      </c>
      <c r="L11" s="47" t="str">
        <f>"75,4018"</f>
        <v>75,4018</v>
      </c>
      <c r="M11" s="25"/>
    </row>
    <row r="13" ht="15.75" spans="1:10">
      <c r="A13" s="21" t="s">
        <v>56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3">
      <c r="A14" s="19" t="s">
        <v>220</v>
      </c>
      <c r="B14" s="20" t="s">
        <v>221</v>
      </c>
      <c r="C14" s="20" t="s">
        <v>222</v>
      </c>
      <c r="D14" s="20" t="str">
        <f>"0,5929"</f>
        <v>0,5929</v>
      </c>
      <c r="E14" s="19" t="s">
        <v>16</v>
      </c>
      <c r="F14" s="19" t="s">
        <v>17</v>
      </c>
      <c r="G14" s="20" t="s">
        <v>217</v>
      </c>
      <c r="H14" s="20" t="s">
        <v>223</v>
      </c>
      <c r="I14" s="20" t="s">
        <v>211</v>
      </c>
      <c r="J14" s="39"/>
      <c r="K14" s="40" t="str">
        <f>"60,0"</f>
        <v>60,0</v>
      </c>
      <c r="L14" s="41" t="str">
        <f>"37,5274"</f>
        <v>37,5274</v>
      </c>
      <c r="M14" s="19"/>
    </row>
    <row r="16" ht="15.75" spans="1:10">
      <c r="A16" s="21" t="s">
        <v>29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3">
      <c r="A17" s="19" t="s">
        <v>224</v>
      </c>
      <c r="B17" s="20" t="s">
        <v>225</v>
      </c>
      <c r="C17" s="20" t="s">
        <v>226</v>
      </c>
      <c r="D17" s="20" t="str">
        <f>"0,5631"</f>
        <v>0,5631</v>
      </c>
      <c r="E17" s="19" t="s">
        <v>16</v>
      </c>
      <c r="F17" s="19" t="s">
        <v>227</v>
      </c>
      <c r="G17" s="20" t="s">
        <v>98</v>
      </c>
      <c r="H17" s="20" t="s">
        <v>228</v>
      </c>
      <c r="I17" s="20" t="s">
        <v>114</v>
      </c>
      <c r="J17" s="20" t="s">
        <v>229</v>
      </c>
      <c r="K17" s="40" t="str">
        <f>"87,5"</f>
        <v>87,5</v>
      </c>
      <c r="L17" s="41" t="str">
        <f>"63,6092"</f>
        <v>63,6092</v>
      </c>
      <c r="M17" s="19"/>
    </row>
    <row r="19" ht="15.75" spans="1:10">
      <c r="A19" s="21" t="s">
        <v>230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3">
      <c r="A20" s="19" t="s">
        <v>231</v>
      </c>
      <c r="B20" s="20" t="s">
        <v>232</v>
      </c>
      <c r="C20" s="20" t="s">
        <v>233</v>
      </c>
      <c r="D20" s="20" t="str">
        <f>"0,5512"</f>
        <v>0,5512</v>
      </c>
      <c r="E20" s="19" t="s">
        <v>16</v>
      </c>
      <c r="F20" s="19" t="s">
        <v>17</v>
      </c>
      <c r="G20" s="39" t="s">
        <v>103</v>
      </c>
      <c r="H20" s="39"/>
      <c r="I20" s="39"/>
      <c r="J20" s="39"/>
      <c r="K20" s="40" t="str">
        <f>"0.00"</f>
        <v>0.00</v>
      </c>
      <c r="L20" s="41" t="str">
        <f>"0,0000"</f>
        <v>0,0000</v>
      </c>
      <c r="M20" s="19"/>
    </row>
    <row r="22" ht="15.75" spans="5:5">
      <c r="E22" s="27" t="s">
        <v>37</v>
      </c>
    </row>
    <row r="23" ht="15.75" spans="5:5">
      <c r="E23" s="27" t="s">
        <v>38</v>
      </c>
    </row>
    <row r="24" ht="15.75" spans="5:5">
      <c r="E24" s="27" t="s">
        <v>39</v>
      </c>
    </row>
    <row r="25" spans="5:5">
      <c r="E25" s="4" t="s">
        <v>40</v>
      </c>
    </row>
    <row r="26" spans="5:5">
      <c r="E26" s="4" t="s">
        <v>41</v>
      </c>
    </row>
    <row r="27" spans="5:5">
      <c r="E27" s="4" t="s">
        <v>42</v>
      </c>
    </row>
    <row r="30" ht="18.75" spans="1:2">
      <c r="A30" s="28" t="s">
        <v>43</v>
      </c>
      <c r="B30" s="29"/>
    </row>
    <row r="31" ht="15.75" spans="1:2">
      <c r="A31" s="30" t="s">
        <v>44</v>
      </c>
      <c r="B31" s="21"/>
    </row>
    <row r="32" ht="15" spans="1:2">
      <c r="A32" s="31"/>
      <c r="B32" s="32" t="s">
        <v>234</v>
      </c>
    </row>
    <row r="33" ht="14.25" spans="1:5">
      <c r="A33" s="33" t="s">
        <v>1</v>
      </c>
      <c r="B33" s="33" t="s">
        <v>46</v>
      </c>
      <c r="C33" s="33" t="s">
        <v>47</v>
      </c>
      <c r="D33" s="33" t="s">
        <v>48</v>
      </c>
      <c r="E33" s="33" t="s">
        <v>4</v>
      </c>
    </row>
    <row r="34" spans="1:5">
      <c r="A34" s="34" t="s">
        <v>235</v>
      </c>
      <c r="B34" s="3" t="s">
        <v>234</v>
      </c>
      <c r="C34" s="3" t="s">
        <v>236</v>
      </c>
      <c r="D34" s="3" t="s">
        <v>120</v>
      </c>
      <c r="E34" s="5" t="s">
        <v>237</v>
      </c>
    </row>
    <row r="36" ht="15" spans="1:2">
      <c r="A36" s="31"/>
      <c r="B36" s="32" t="s">
        <v>45</v>
      </c>
    </row>
    <row r="37" ht="14.25" spans="1:5">
      <c r="A37" s="33" t="s">
        <v>1</v>
      </c>
      <c r="B37" s="33" t="s">
        <v>46</v>
      </c>
      <c r="C37" s="33" t="s">
        <v>47</v>
      </c>
      <c r="D37" s="33" t="s">
        <v>48</v>
      </c>
      <c r="E37" s="33" t="s">
        <v>4</v>
      </c>
    </row>
    <row r="38" spans="1:5">
      <c r="A38" s="34" t="s">
        <v>235</v>
      </c>
      <c r="B38" s="3" t="s">
        <v>45</v>
      </c>
      <c r="C38" s="3" t="s">
        <v>236</v>
      </c>
      <c r="D38" s="3" t="s">
        <v>120</v>
      </c>
      <c r="E38" s="5" t="s">
        <v>237</v>
      </c>
    </row>
    <row r="40" ht="15" spans="1:2">
      <c r="A40" s="31"/>
      <c r="B40" s="32" t="s">
        <v>139</v>
      </c>
    </row>
    <row r="41" ht="14.25" spans="1:5">
      <c r="A41" s="33" t="s">
        <v>1</v>
      </c>
      <c r="B41" s="33" t="s">
        <v>46</v>
      </c>
      <c r="C41" s="33" t="s">
        <v>47</v>
      </c>
      <c r="D41" s="33" t="s">
        <v>48</v>
      </c>
      <c r="E41" s="33" t="s">
        <v>4</v>
      </c>
    </row>
    <row r="42" spans="1:5">
      <c r="A42" s="34" t="s">
        <v>167</v>
      </c>
      <c r="B42" s="3" t="s">
        <v>238</v>
      </c>
      <c r="C42" s="3" t="s">
        <v>236</v>
      </c>
      <c r="D42" s="3" t="s">
        <v>103</v>
      </c>
      <c r="E42" s="5" t="s">
        <v>239</v>
      </c>
    </row>
    <row r="43" spans="1:5">
      <c r="A43" s="34" t="s">
        <v>240</v>
      </c>
      <c r="B43" s="3" t="s">
        <v>241</v>
      </c>
      <c r="C43" s="3" t="s">
        <v>50</v>
      </c>
      <c r="D43" s="3" t="s">
        <v>229</v>
      </c>
      <c r="E43" s="5" t="s">
        <v>242</v>
      </c>
    </row>
    <row r="44" spans="1:5">
      <c r="A44" s="34" t="s">
        <v>243</v>
      </c>
      <c r="B44" s="3" t="s">
        <v>244</v>
      </c>
      <c r="C44" s="3" t="s">
        <v>64</v>
      </c>
      <c r="D44" s="3" t="s">
        <v>211</v>
      </c>
      <c r="E44" s="5" t="s">
        <v>245</v>
      </c>
    </row>
    <row r="45" spans="1:5">
      <c r="A45" s="34" t="s">
        <v>203</v>
      </c>
      <c r="B45" s="3" t="s">
        <v>246</v>
      </c>
      <c r="C45" s="3" t="s">
        <v>247</v>
      </c>
      <c r="D45" s="3" t="s">
        <v>88</v>
      </c>
      <c r="E45" s="5" t="s">
        <v>248</v>
      </c>
    </row>
  </sheetData>
  <mergeCells count="16">
    <mergeCell ref="G3:J3"/>
    <mergeCell ref="A5:J5"/>
    <mergeCell ref="A8:J8"/>
    <mergeCell ref="A13:J13"/>
    <mergeCell ref="A16:J16"/>
    <mergeCell ref="A19:J19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4.2222222222222" style="3" customWidth="1"/>
    <col min="3" max="3" width="7.55555555555556" style="3" customWidth="1"/>
    <col min="4" max="4" width="7.33333333333333" style="3" customWidth="1"/>
    <col min="5" max="5" width="17" style="4" customWidth="1"/>
    <col min="6" max="6" width="13.8888888888889" style="4" customWidth="1"/>
    <col min="7" max="9" width="2.11111111111111" style="3" customWidth="1"/>
    <col min="10" max="10" width="4.77777777777778" style="3" customWidth="1"/>
    <col min="11" max="11" width="5.77777777777778" style="5" customWidth="1"/>
    <col min="12" max="12" width="4.11111111111111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/>
      <c r="E3" s="14" t="s">
        <v>5</v>
      </c>
      <c r="F3" s="14" t="s">
        <v>6</v>
      </c>
      <c r="G3" s="14"/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spans="1:13">
      <c r="A5" s="4"/>
      <c r="E5" s="4"/>
      <c r="F5" s="4"/>
      <c r="K5" s="5"/>
      <c r="L5" s="6"/>
      <c r="M5" s="4"/>
    </row>
    <row r="6" s="3" customFormat="1" ht="15.75" spans="1:13">
      <c r="A6" s="4"/>
      <c r="E6" s="27" t="s">
        <v>37</v>
      </c>
      <c r="F6" s="4"/>
      <c r="K6" s="5"/>
      <c r="L6" s="6"/>
      <c r="M6" s="4"/>
    </row>
    <row r="7" s="3" customFormat="1" ht="15.75" spans="1:13">
      <c r="A7" s="4"/>
      <c r="E7" s="27" t="s">
        <v>38</v>
      </c>
      <c r="F7" s="4"/>
      <c r="K7" s="5"/>
      <c r="L7" s="6"/>
      <c r="M7" s="4"/>
    </row>
    <row r="8" ht="15.75" spans="5:5">
      <c r="E8" s="27" t="s">
        <v>39</v>
      </c>
    </row>
    <row r="9" spans="5:5">
      <c r="E9" s="4" t="s">
        <v>40</v>
      </c>
    </row>
    <row r="10" spans="5:5">
      <c r="E10" s="4" t="s">
        <v>41</v>
      </c>
    </row>
    <row r="11" spans="5:5">
      <c r="E11" s="4" t="s">
        <v>42</v>
      </c>
    </row>
    <row r="14" ht="18.75" spans="1:2">
      <c r="A14" s="28" t="s">
        <v>43</v>
      </c>
      <c r="B14" s="29"/>
    </row>
  </sheetData>
  <mergeCells count="11"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23.6666666666667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207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212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3" t="s">
        <v>213</v>
      </c>
      <c r="B6" s="24" t="s">
        <v>214</v>
      </c>
      <c r="C6" s="24" t="s">
        <v>215</v>
      </c>
      <c r="D6" s="24" t="str">
        <f>"0,6578"</f>
        <v>0,6578</v>
      </c>
      <c r="E6" s="23" t="s">
        <v>16</v>
      </c>
      <c r="F6" s="23" t="s">
        <v>216</v>
      </c>
      <c r="G6" s="24" t="s">
        <v>251</v>
      </c>
      <c r="H6" s="24" t="s">
        <v>252</v>
      </c>
      <c r="I6" s="24" t="s">
        <v>253</v>
      </c>
      <c r="J6" s="24" t="s">
        <v>254</v>
      </c>
      <c r="K6" s="43" t="str">
        <f>"54,0"</f>
        <v>54,0</v>
      </c>
      <c r="L6" s="44" t="str">
        <f>"35,5212"</f>
        <v>35,5212</v>
      </c>
      <c r="M6" s="23"/>
    </row>
    <row r="7" s="3" customFormat="1" spans="1:13">
      <c r="A7" s="48" t="s">
        <v>213</v>
      </c>
      <c r="B7" s="49" t="s">
        <v>218</v>
      </c>
      <c r="C7" s="49" t="s">
        <v>215</v>
      </c>
      <c r="D7" s="49" t="str">
        <f>"0,6578"</f>
        <v>0,6578</v>
      </c>
      <c r="E7" s="48" t="s">
        <v>16</v>
      </c>
      <c r="F7" s="48" t="s">
        <v>216</v>
      </c>
      <c r="G7" s="49" t="s">
        <v>251</v>
      </c>
      <c r="H7" s="49" t="s">
        <v>252</v>
      </c>
      <c r="I7" s="49" t="s">
        <v>253</v>
      </c>
      <c r="J7" s="49" t="s">
        <v>254</v>
      </c>
      <c r="K7" s="51" t="str">
        <f>"54,0"</f>
        <v>54,0</v>
      </c>
      <c r="L7" s="52" t="str">
        <f>"35,5212"</f>
        <v>35,5212</v>
      </c>
      <c r="M7" s="48"/>
    </row>
    <row r="8" spans="1:13">
      <c r="A8" s="25" t="s">
        <v>99</v>
      </c>
      <c r="B8" s="26" t="s">
        <v>219</v>
      </c>
      <c r="C8" s="26" t="s">
        <v>101</v>
      </c>
      <c r="D8" s="26" t="str">
        <f>"0,6934"</f>
        <v>0,6934</v>
      </c>
      <c r="E8" s="25" t="s">
        <v>16</v>
      </c>
      <c r="F8" s="25" t="s">
        <v>102</v>
      </c>
      <c r="G8" s="26" t="s">
        <v>251</v>
      </c>
      <c r="H8" s="26" t="s">
        <v>252</v>
      </c>
      <c r="I8" s="26" t="s">
        <v>253</v>
      </c>
      <c r="J8" s="26" t="s">
        <v>254</v>
      </c>
      <c r="K8" s="46" t="str">
        <f>"54,0"</f>
        <v>54,0</v>
      </c>
      <c r="L8" s="47" t="str">
        <f>"54,2893"</f>
        <v>54,2893</v>
      </c>
      <c r="M8" s="25"/>
    </row>
    <row r="10" ht="15.75" spans="1:10">
      <c r="A10" s="21" t="s">
        <v>56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3">
      <c r="A11" s="19" t="s">
        <v>220</v>
      </c>
      <c r="B11" s="20" t="s">
        <v>221</v>
      </c>
      <c r="C11" s="20" t="s">
        <v>222</v>
      </c>
      <c r="D11" s="20" t="str">
        <f>"0,5929"</f>
        <v>0,5929</v>
      </c>
      <c r="E11" s="19" t="s">
        <v>16</v>
      </c>
      <c r="F11" s="19" t="s">
        <v>17</v>
      </c>
      <c r="G11" s="20" t="s">
        <v>94</v>
      </c>
      <c r="H11" s="20" t="s">
        <v>251</v>
      </c>
      <c r="I11" s="20" t="s">
        <v>252</v>
      </c>
      <c r="J11" s="20" t="s">
        <v>253</v>
      </c>
      <c r="K11" s="40" t="str">
        <f>"49,0"</f>
        <v>49,0</v>
      </c>
      <c r="L11" s="41" t="str">
        <f>"30,6474"</f>
        <v>30,6474</v>
      </c>
      <c r="M11" s="19"/>
    </row>
    <row r="13" ht="15.75" spans="1:10">
      <c r="A13" s="21" t="s">
        <v>230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3">
      <c r="A14" s="19" t="s">
        <v>255</v>
      </c>
      <c r="B14" s="20" t="s">
        <v>232</v>
      </c>
      <c r="C14" s="20" t="s">
        <v>233</v>
      </c>
      <c r="D14" s="20" t="str">
        <f>"0,5512"</f>
        <v>0,5512</v>
      </c>
      <c r="E14" s="19" t="s">
        <v>16</v>
      </c>
      <c r="F14" s="19" t="s">
        <v>17</v>
      </c>
      <c r="G14" s="20" t="s">
        <v>253</v>
      </c>
      <c r="H14" s="39" t="s">
        <v>256</v>
      </c>
      <c r="I14" s="39"/>
      <c r="J14" s="39"/>
      <c r="K14" s="40" t="str">
        <f>"49,0"</f>
        <v>49,0</v>
      </c>
      <c r="L14" s="41" t="str">
        <f>"40,8066"</f>
        <v>40,8066</v>
      </c>
      <c r="M14" s="19"/>
    </row>
    <row r="16" ht="15.75" spans="5:5">
      <c r="E16" s="27" t="s">
        <v>37</v>
      </c>
    </row>
    <row r="17" ht="15.75" spans="5:5">
      <c r="E17" s="27" t="s">
        <v>38</v>
      </c>
    </row>
    <row r="18" ht="15.75" spans="5:5">
      <c r="E18" s="27" t="s">
        <v>39</v>
      </c>
    </row>
    <row r="19" spans="5:5">
      <c r="E19" s="4" t="s">
        <v>40</v>
      </c>
    </row>
    <row r="20" spans="5:5">
      <c r="E20" s="4" t="s">
        <v>41</v>
      </c>
    </row>
    <row r="21" spans="5:5">
      <c r="E21" s="4" t="s">
        <v>42</v>
      </c>
    </row>
    <row r="24" ht="18.75" spans="1:2">
      <c r="A24" s="28" t="s">
        <v>43</v>
      </c>
      <c r="B24" s="29"/>
    </row>
    <row r="25" ht="15.75" spans="1:2">
      <c r="A25" s="30" t="s">
        <v>44</v>
      </c>
      <c r="B25" s="21"/>
    </row>
    <row r="26" ht="15" spans="1:2">
      <c r="A26" s="31"/>
      <c r="B26" s="32" t="s">
        <v>234</v>
      </c>
    </row>
    <row r="27" ht="14.25" spans="1:5">
      <c r="A27" s="33" t="s">
        <v>1</v>
      </c>
      <c r="B27" s="33" t="s">
        <v>46</v>
      </c>
      <c r="C27" s="33" t="s">
        <v>47</v>
      </c>
      <c r="D27" s="33" t="s">
        <v>48</v>
      </c>
      <c r="E27" s="33" t="s">
        <v>4</v>
      </c>
    </row>
    <row r="28" spans="1:5">
      <c r="A28" s="34" t="s">
        <v>235</v>
      </c>
      <c r="B28" s="3" t="s">
        <v>234</v>
      </c>
      <c r="C28" s="3" t="s">
        <v>236</v>
      </c>
      <c r="D28" s="3" t="s">
        <v>254</v>
      </c>
      <c r="E28" s="5" t="s">
        <v>257</v>
      </c>
    </row>
    <row r="30" ht="15" spans="1:2">
      <c r="A30" s="31"/>
      <c r="B30" s="32" t="s">
        <v>45</v>
      </c>
    </row>
    <row r="31" ht="14.25" spans="1:5">
      <c r="A31" s="33" t="s">
        <v>1</v>
      </c>
      <c r="B31" s="33" t="s">
        <v>46</v>
      </c>
      <c r="C31" s="33" t="s">
        <v>47</v>
      </c>
      <c r="D31" s="33" t="s">
        <v>48</v>
      </c>
      <c r="E31" s="33" t="s">
        <v>4</v>
      </c>
    </row>
    <row r="32" spans="1:5">
      <c r="A32" s="34" t="s">
        <v>235</v>
      </c>
      <c r="B32" s="3" t="s">
        <v>45</v>
      </c>
      <c r="C32" s="3" t="s">
        <v>236</v>
      </c>
      <c r="D32" s="3" t="s">
        <v>254</v>
      </c>
      <c r="E32" s="5" t="s">
        <v>257</v>
      </c>
    </row>
    <row r="34" ht="15" spans="1:2">
      <c r="A34" s="31"/>
      <c r="B34" s="32" t="s">
        <v>139</v>
      </c>
    </row>
    <row r="35" ht="14.25" spans="1:5">
      <c r="A35" s="33" t="s">
        <v>1</v>
      </c>
      <c r="B35" s="33" t="s">
        <v>46</v>
      </c>
      <c r="C35" s="33" t="s">
        <v>47</v>
      </c>
      <c r="D35" s="33" t="s">
        <v>48</v>
      </c>
      <c r="E35" s="33" t="s">
        <v>4</v>
      </c>
    </row>
    <row r="36" spans="1:5">
      <c r="A36" s="34" t="s">
        <v>167</v>
      </c>
      <c r="B36" s="3" t="s">
        <v>238</v>
      </c>
      <c r="C36" s="3" t="s">
        <v>236</v>
      </c>
      <c r="D36" s="3" t="s">
        <v>254</v>
      </c>
      <c r="E36" s="5" t="s">
        <v>258</v>
      </c>
    </row>
    <row r="37" spans="1:5">
      <c r="A37" s="34" t="s">
        <v>259</v>
      </c>
      <c r="B37" s="3" t="s">
        <v>260</v>
      </c>
      <c r="C37" s="3" t="s">
        <v>261</v>
      </c>
      <c r="D37" s="3" t="s">
        <v>253</v>
      </c>
      <c r="E37" s="5" t="s">
        <v>262</v>
      </c>
    </row>
    <row r="38" spans="1:5">
      <c r="A38" s="34" t="s">
        <v>243</v>
      </c>
      <c r="B38" s="3" t="s">
        <v>244</v>
      </c>
      <c r="C38" s="3" t="s">
        <v>64</v>
      </c>
      <c r="D38" s="3" t="s">
        <v>253</v>
      </c>
      <c r="E38" s="5" t="s">
        <v>263</v>
      </c>
    </row>
  </sheetData>
  <mergeCells count="14">
    <mergeCell ref="G3:J3"/>
    <mergeCell ref="A5:J5"/>
    <mergeCell ref="A10:J10"/>
    <mergeCell ref="A13:J1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23.6666666666667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207</v>
      </c>
      <c r="H3" s="14"/>
      <c r="I3" s="14"/>
      <c r="J3" s="14"/>
      <c r="K3" s="14" t="s">
        <v>8</v>
      </c>
      <c r="L3" s="14" t="s">
        <v>9</v>
      </c>
      <c r="M3" s="37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38"/>
    </row>
    <row r="5" s="3" customFormat="1" ht="15.75" spans="1:13">
      <c r="A5" s="17" t="s">
        <v>212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99</v>
      </c>
      <c r="B6" s="20" t="s">
        <v>219</v>
      </c>
      <c r="C6" s="20" t="s">
        <v>101</v>
      </c>
      <c r="D6" s="20" t="str">
        <f>"0,6934"</f>
        <v>0,6934</v>
      </c>
      <c r="E6" s="19" t="s">
        <v>16</v>
      </c>
      <c r="F6" s="19" t="s">
        <v>102</v>
      </c>
      <c r="G6" s="20" t="s">
        <v>265</v>
      </c>
      <c r="H6" s="20" t="s">
        <v>266</v>
      </c>
      <c r="I6" s="20" t="s">
        <v>267</v>
      </c>
      <c r="J6" s="39" t="s">
        <v>176</v>
      </c>
      <c r="K6" s="40" t="str">
        <f>"20,0"</f>
        <v>20,0</v>
      </c>
      <c r="L6" s="41" t="str">
        <f>"20,1072"</f>
        <v>20,1072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56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220</v>
      </c>
      <c r="B9" s="20" t="s">
        <v>221</v>
      </c>
      <c r="C9" s="20" t="s">
        <v>222</v>
      </c>
      <c r="D9" s="20" t="str">
        <f>"0,5929"</f>
        <v>0,5929</v>
      </c>
      <c r="E9" s="19" t="s">
        <v>16</v>
      </c>
      <c r="F9" s="19" t="s">
        <v>17</v>
      </c>
      <c r="G9" s="20" t="s">
        <v>265</v>
      </c>
      <c r="H9" s="20" t="s">
        <v>266</v>
      </c>
      <c r="I9" s="20" t="s">
        <v>267</v>
      </c>
      <c r="J9" s="39" t="s">
        <v>176</v>
      </c>
      <c r="K9" s="40" t="str">
        <f>"20,0"</f>
        <v>20,0</v>
      </c>
      <c r="L9" s="41" t="str">
        <f>"12,5091"</f>
        <v>12,5091</v>
      </c>
      <c r="M9" s="19"/>
    </row>
    <row r="11" ht="15.75" spans="5:5">
      <c r="E11" s="27" t="s">
        <v>37</v>
      </c>
    </row>
    <row r="12" ht="15.75" spans="5:5">
      <c r="E12" s="27" t="s">
        <v>38</v>
      </c>
    </row>
    <row r="13" ht="15.75" spans="5:5">
      <c r="E13" s="27" t="s">
        <v>39</v>
      </c>
    </row>
    <row r="14" spans="5:5">
      <c r="E14" s="4" t="s">
        <v>40</v>
      </c>
    </row>
    <row r="15" spans="5:5">
      <c r="E15" s="4" t="s">
        <v>41</v>
      </c>
    </row>
    <row r="16" spans="5:5">
      <c r="E16" s="4" t="s">
        <v>42</v>
      </c>
    </row>
    <row r="19" ht="18.75" spans="1:2">
      <c r="A19" s="28" t="s">
        <v>43</v>
      </c>
      <c r="B19" s="29"/>
    </row>
    <row r="20" ht="15.75" spans="1:2">
      <c r="A20" s="30" t="s">
        <v>44</v>
      </c>
      <c r="B20" s="21"/>
    </row>
    <row r="21" ht="15" spans="1:2">
      <c r="A21" s="31"/>
      <c r="B21" s="32" t="s">
        <v>139</v>
      </c>
    </row>
    <row r="22" ht="14.25" spans="1:5">
      <c r="A22" s="33" t="s">
        <v>1</v>
      </c>
      <c r="B22" s="33" t="s">
        <v>46</v>
      </c>
      <c r="C22" s="33" t="s">
        <v>47</v>
      </c>
      <c r="D22" s="33" t="s">
        <v>48</v>
      </c>
      <c r="E22" s="33" t="s">
        <v>4</v>
      </c>
    </row>
    <row r="23" spans="1:5">
      <c r="A23" s="34" t="s">
        <v>167</v>
      </c>
      <c r="B23" s="3" t="s">
        <v>238</v>
      </c>
      <c r="C23" s="3" t="s">
        <v>236</v>
      </c>
      <c r="D23" s="3" t="s">
        <v>267</v>
      </c>
      <c r="E23" s="5" t="s">
        <v>268</v>
      </c>
    </row>
    <row r="24" spans="1:5">
      <c r="A24" s="34" t="s">
        <v>243</v>
      </c>
      <c r="B24" s="3" t="s">
        <v>244</v>
      </c>
      <c r="C24" s="3" t="s">
        <v>64</v>
      </c>
      <c r="D24" s="3" t="s">
        <v>267</v>
      </c>
      <c r="E24" s="5" t="s">
        <v>269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AWPA MP soft eq. BP</vt:lpstr>
      <vt:lpstr>WPA soft eq. BP</vt:lpstr>
      <vt:lpstr>MR BP 1_2 bw. AWPA</vt:lpstr>
      <vt:lpstr>MR BP 1 bw. AWPA</vt:lpstr>
      <vt:lpstr>MR BP 1 bw. WPA</vt:lpstr>
      <vt:lpstr>«Excalibur»</vt:lpstr>
      <vt:lpstr>«Rus bullet»</vt:lpstr>
      <vt:lpstr>«Rus brick»</vt:lpstr>
      <vt:lpstr>«Rus HUB»</vt:lpstr>
      <vt:lpstr>«Rus Axle»</vt:lpstr>
      <vt:lpstr>«Russian Roullette»</vt:lpstr>
      <vt:lpstr>WPA SC</vt:lpstr>
      <vt:lpstr>AWPA SC</vt:lpstr>
      <vt:lpstr>AWPA OB</vt:lpstr>
      <vt:lpstr>AWPA raw PL</vt:lpstr>
      <vt:lpstr>AWPA st.ply BP</vt:lpstr>
      <vt:lpstr>AWPA raw BP</vt:lpstr>
      <vt:lpstr>AWPA st.ply DL</vt:lpstr>
      <vt:lpstr>AWPA raw DL</vt:lpstr>
      <vt:lpstr>WPA m.ply PL</vt:lpstr>
      <vt:lpstr>WPA raw PL</vt:lpstr>
      <vt:lpstr>WPA raw BP</vt:lpstr>
      <vt:lpstr>WPA m.ply DL</vt:lpstr>
      <vt:lpstr>WPA st.ply DL</vt:lpstr>
      <vt:lpstr>WPA raw DL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Oleg</cp:lastModifiedBy>
  <dcterms:created xsi:type="dcterms:W3CDTF">2002-06-16T13:36:00Z</dcterms:created>
  <cp:lastPrinted>2008-02-22T21:19:00Z</cp:lastPrinted>
  <dcterms:modified xsi:type="dcterms:W3CDTF">2022-04-13T13:43:48Z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B4C9674F235A4B1696545564C95ED4C2</vt:lpwstr>
  </property>
  <property fmtid="{D5CDD505-2E9C-101B-9397-08002B2CF9AE}" pid="3" name="KSOProductBuildVer">
    <vt:lpwstr>1049-11.2.0.11042</vt:lpwstr>
  </property>
</Properties>
</file>