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Excalibur" sheetId="1" state="visible" r:id="rId2"/>
    <sheet name="Rus brick" sheetId="2" state="visible" r:id="rId3"/>
    <sheet name="Rus HUB" sheetId="3" state="visible" r:id="rId4"/>
    <sheet name="Rus Axle" sheetId="4" state="visible" r:id="rId5"/>
    <sheet name="Rus Roullette" sheetId="5" state="visible" r:id="rId6"/>
    <sheet name="AWPC НЖ 1 вес" sheetId="6" state="visible" r:id="rId7"/>
    <sheet name="AWPC стр. под.на биц" sheetId="7" state="visible" r:id="rId8"/>
    <sheet name="AWPC б_э тяга" sheetId="8" state="visible" r:id="rId9"/>
    <sheet name="WPC 1 слой тяга" sheetId="9" state="visible" r:id="rId10"/>
    <sheet name="WPC б_э тяга" sheetId="10" state="visible" r:id="rId11"/>
    <sheet name="AWPC ст. софт эк. жим" sheetId="11" state="visible" r:id="rId12"/>
    <sheet name="AWPC 1 слой жим" sheetId="12" state="visible" r:id="rId13"/>
    <sheet name="WPC жим стоя" sheetId="13" state="visible" r:id="rId14"/>
    <sheet name="AWPC б_э жим" sheetId="14" state="visible" r:id="rId15"/>
    <sheet name="AWPC Класс. ПЛ" sheetId="15" state="visible" r:id="rId16"/>
    <sheet name="AWPC б_э ПЛ" sheetId="16" state="visible" r:id="rId17"/>
    <sheet name="WPC ст. софт эк. жим" sheetId="17" state="visible" r:id="rId18"/>
    <sheet name="WPC 1 слой жим" sheetId="18" state="visible" r:id="rId19"/>
    <sheet name="WPC б_э жим" sheetId="19" state="visible" r:id="rId20"/>
    <sheet name="WPC 1 слой ПЛ" sheetId="20" state="visible" r:id="rId21"/>
    <sheet name="WPC класс. ПЛ" sheetId="21" state="visible" r:id="rId22"/>
    <sheet name="WPC б_э ПЛ" sheetId="22" state="visible" r:id="rId23"/>
  </sheets>
  <definedNames>
    <definedName function="false" hidden="false" localSheetId="4" name="_FilterDatabase" vbProcedure="false">'Rus Roullette'!$A$1:$J$3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<sst xmlns="http://schemas.openxmlformats.org/spreadsheetml/2006/main" count="3552" uniqueCount="1067">
  <si>
    <t xml:space="preserve">Открытый Кубок Москвы WPC/AWPC/WAA-2021
«Эскалибур»
Москва/Москва 14 февраля 2021 г.</t>
  </si>
  <si>
    <t xml:space="preserve">ФИО</t>
  </si>
  <si>
    <t xml:space="preserve">Возрастная группа
Дата рождения/Возраст</t>
  </si>
  <si>
    <t xml:space="preserve">Собственный
вес</t>
  </si>
  <si>
    <t xml:space="preserve">Gloss</t>
  </si>
  <si>
    <t xml:space="preserve">Команда</t>
  </si>
  <si>
    <t xml:space="preserve">Город/Область</t>
  </si>
  <si>
    <t xml:space="preserve">Тяга</t>
  </si>
  <si>
    <t xml:space="preserve">Результат</t>
  </si>
  <si>
    <t xml:space="preserve">4</t>
  </si>
  <si>
    <t xml:space="preserve">ВЕСОВАЯ КАТЕГОРИЯ   70</t>
  </si>
  <si>
    <t xml:space="preserve">1. Сергеева Виктория</t>
  </si>
  <si>
    <t xml:space="preserve">Открытая (08.12.1982)/38</t>
  </si>
  <si>
    <t xml:space="preserve">67,20</t>
  </si>
  <si>
    <t xml:space="preserve">лично </t>
  </si>
  <si>
    <t xml:space="preserve">Надым/Ямало-Ненецкий авт. окр. </t>
  </si>
  <si>
    <t xml:space="preserve">25,0</t>
  </si>
  <si>
    <t xml:space="preserve">30,0</t>
  </si>
  <si>
    <t xml:space="preserve">40,0</t>
  </si>
  <si>
    <t xml:space="preserve">45,0</t>
  </si>
  <si>
    <t xml:space="preserve">="45,0"</t>
  </si>
  <si>
    <t xml:space="preserve">="40,6260"</t>
  </si>
  <si>
    <t xml:space="preserve"> </t>
  </si>
  <si>
    <t xml:space="preserve">ВЕСОВАЯ КАТЕГОРИЯ   80</t>
  </si>
  <si>
    <t xml:space="preserve">1. Умеренков Даниил</t>
  </si>
  <si>
    <t xml:space="preserve">Юниоры (01.03.2004)/16</t>
  </si>
  <si>
    <t xml:space="preserve">78,50</t>
  </si>
  <si>
    <t xml:space="preserve">Курск/Курская область </t>
  </si>
  <si>
    <t xml:space="preserve">50,0</t>
  </si>
  <si>
    <t xml:space="preserve">60,0</t>
  </si>
  <si>
    <t xml:space="preserve">70,0</t>
  </si>
  <si>
    <t xml:space="preserve">80,0</t>
  </si>
  <si>
    <t xml:space="preserve">="80,0"</t>
  </si>
  <si>
    <t xml:space="preserve">="53,3120"</t>
  </si>
  <si>
    <t xml:space="preserve">Открытая (01.03.2004)/16</t>
  </si>
  <si>
    <t xml:space="preserve">ВЕСОВАЯ КАТЕГОРИЯ   90</t>
  </si>
  <si>
    <t xml:space="preserve">1. Володин Виктор</t>
  </si>
  <si>
    <t xml:space="preserve">Открытая (06.01.1987)/34</t>
  </si>
  <si>
    <t xml:space="preserve">87,90</t>
  </si>
  <si>
    <t xml:space="preserve">Москва </t>
  </si>
  <si>
    <t xml:space="preserve">90,0</t>
  </si>
  <si>
    <t xml:space="preserve">95,0</t>
  </si>
  <si>
    <t xml:space="preserve">="90,0"</t>
  </si>
  <si>
    <t xml:space="preserve">="55,8090"</t>
  </si>
  <si>
    <t xml:space="preserve">ВЕСОВАЯ КАТЕГОРИЯ   100</t>
  </si>
  <si>
    <t xml:space="preserve">1. Медведев Данила</t>
  </si>
  <si>
    <t xml:space="preserve">Юниоры (26.03.2001)/19</t>
  </si>
  <si>
    <t xml:space="preserve">91,30</t>
  </si>
  <si>
    <t xml:space="preserve">РГАУ-МСХА </t>
  </si>
  <si>
    <t xml:space="preserve">85,0</t>
  </si>
  <si>
    <t xml:space="preserve">100,0</t>
  </si>
  <si>
    <t xml:space="preserve">="95,0"</t>
  </si>
  <si>
    <t xml:space="preserve">="57,6745"</t>
  </si>
  <si>
    <t xml:space="preserve">Главный судья:</t>
  </si>
  <si>
    <t xml:space="preserve">Главный секретарь:</t>
  </si>
  <si>
    <t xml:space="preserve">Старший судья:</t>
  </si>
  <si>
    <t xml:space="preserve">Боковой судья:</t>
  </si>
  <si>
    <t xml:space="preserve">Секретарь:</t>
  </si>
  <si>
    <t xml:space="preserve">Абсолютный зачёт </t>
  </si>
  <si>
    <t xml:space="preserve">Женщины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</si>
  <si>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</si>
  <si>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</si>
  <si>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</si>
  <si>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</si>
  <si>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Результат </t>
  </si>
  <si>
    <t xml:space="preserve">Gloss </t>
  </si>
  <si>
    <t xml:space="preserve">Сергеева Виктория</t>
  </si>
  <si>
    <t xml:space="preserve">70</t>
  </si>
  <si>
    <t xml:space="preserve">40,6260</t>
  </si>
  <si>
    <t xml:space="preserve">Мужчины </t>
  </si>
  <si>
    <t xml:space="preserve">Юниоры </t>
  </si>
  <si>
    <t xml:space="preserve">Медведев Данила</t>
  </si>
  <si>
    <t xml:space="preserve">100</t>
  </si>
  <si>
    <t xml:space="preserve">57,6745</t>
  </si>
  <si>
    <t xml:space="preserve">Умеренков Даниил</t>
  </si>
  <si>
    <t xml:space="preserve">80</t>
  </si>
  <si>
    <t xml:space="preserve">53,3120</t>
  </si>
  <si>
    <t xml:space="preserve">Володин Виктор</t>
  </si>
  <si>
    <t xml:space="preserve">90</t>
  </si>
  <si>
    <t xml:space="preserve">55,8090</t>
  </si>
  <si>
    <t xml:space="preserve">Открытый Кубок Москвы WPC/AWPC/WAA-2021
«Русский кирпич»
Москва/Москва 14 февраля 2021 г.</t>
  </si>
  <si>
    <t xml:space="preserve">29,0</t>
  </si>
  <si>
    <t xml:space="preserve">31,5</t>
  </si>
  <si>
    <t xml:space="preserve">34,0</t>
  </si>
  <si>
    <t xml:space="preserve">="31,5"</t>
  </si>
  <si>
    <t xml:space="preserve">="28,4382"</t>
  </si>
  <si>
    <t xml:space="preserve">28,4382</t>
  </si>
  <si>
    <t xml:space="preserve">Открытый Кубок Москвы WPC/AWPC/WAA-2021
«Русский хаб»
Москва/Москва 14 февраля 2021 г.</t>
  </si>
  <si>
    <t xml:space="preserve">12,5</t>
  </si>
  <si>
    <t xml:space="preserve">15,0</t>
  </si>
  <si>
    <t xml:space="preserve">17,5</t>
  </si>
  <si>
    <t xml:space="preserve">20,0</t>
  </si>
  <si>
    <t xml:space="preserve">="17,5"</t>
  </si>
  <si>
    <t xml:space="preserve">="15,7990"</t>
  </si>
  <si>
    <t xml:space="preserve">15,7990</t>
  </si>
  <si>
    <t xml:space="preserve">Открытый Кубок Москвы WPC/AWPC/WAA-2021
«Русская ось»
Москва/Москва 14 февраля 2021 г.</t>
  </si>
  <si>
    <t xml:space="preserve">1. Толмачева Ольга</t>
  </si>
  <si>
    <t xml:space="preserve">Мастера 40+ (17.06.1980)/40</t>
  </si>
  <si>
    <t xml:space="preserve">70,50</t>
  </si>
  <si>
    <t xml:space="preserve">65,0</t>
  </si>
  <si>
    <t xml:space="preserve">72,5</t>
  </si>
  <si>
    <t xml:space="preserve">77,5</t>
  </si>
  <si>
    <t xml:space="preserve">="77,5"</t>
  </si>
  <si>
    <t xml:space="preserve">="67,5916"</t>
  </si>
  <si>
    <t xml:space="preserve">1. Раткевич Илья</t>
  </si>
  <si>
    <t xml:space="preserve">Юниоры (13.07.2001)/19</t>
  </si>
  <si>
    <t xml:space="preserve">73,60</t>
  </si>
  <si>
    <t xml:space="preserve">110,0</t>
  </si>
  <si>
    <t xml:space="preserve">120,0</t>
  </si>
  <si>
    <t xml:space="preserve">130,0</t>
  </si>
  <si>
    <t xml:space="preserve">="120,0"</t>
  </si>
  <si>
    <t xml:space="preserve">="83,7960"</t>
  </si>
  <si>
    <t xml:space="preserve">1. Есаян Евгений</t>
  </si>
  <si>
    <t xml:space="preserve">Открытая (28.01.1993)/28</t>
  </si>
  <si>
    <t xml:space="preserve">98,20</t>
  </si>
  <si>
    <t xml:space="preserve">140,0</t>
  </si>
  <si>
    <t xml:space="preserve">150,0</t>
  </si>
  <si>
    <t xml:space="preserve">160,0</t>
  </si>
  <si>
    <t xml:space="preserve">="160,0"</t>
  </si>
  <si>
    <t xml:space="preserve">="93,7360"</t>
  </si>
  <si>
    <t xml:space="preserve">1. Щербаков Виктор</t>
  </si>
  <si>
    <t xml:space="preserve">Мастера 40+ (25.09.1959)/61</t>
  </si>
  <si>
    <t xml:space="preserve">97,90</t>
  </si>
  <si>
    <t xml:space="preserve">145,0</t>
  </si>
  <si>
    <t xml:space="preserve">="140,0"</t>
  </si>
  <si>
    <t xml:space="preserve">="112,1909"</t>
  </si>
  <si>
    <t xml:space="preserve">ВЕСОВАЯ КАТЕГОРИЯ   125</t>
  </si>
  <si>
    <t xml:space="preserve">1. Кулясов Сергей</t>
  </si>
  <si>
    <t xml:space="preserve">Открытая (11.09.1982)/38</t>
  </si>
  <si>
    <t xml:space="preserve">115,40</t>
  </si>
  <si>
    <t xml:space="preserve">Пенза/Пензенская область </t>
  </si>
  <si>
    <t xml:space="preserve">222,5</t>
  </si>
  <si>
    <t xml:space="preserve">225,0</t>
  </si>
  <si>
    <t xml:space="preserve">="225,0"</t>
  </si>
  <si>
    <t xml:space="preserve">="125,0438"</t>
  </si>
  <si>
    <t xml:space="preserve">Мастера </t>
  </si>
  <si>
    <t xml:space="preserve">Толмачева Ольга</t>
  </si>
  <si>
    <t xml:space="preserve">Мастера 40+ </t>
  </si>
  <si>
    <t xml:space="preserve">67,5916</t>
  </si>
  <si>
    <t xml:space="preserve">Раткевич Илья</t>
  </si>
  <si>
    <t xml:space="preserve">83,7960</t>
  </si>
  <si>
    <t xml:space="preserve">Кулясов Сергей</t>
  </si>
  <si>
    <t xml:space="preserve">125</t>
  </si>
  <si>
    <t xml:space="preserve">125,0438</t>
  </si>
  <si>
    <t xml:space="preserve">Есаян Евгений</t>
  </si>
  <si>
    <t xml:space="preserve">93,7360</t>
  </si>
  <si>
    <t xml:space="preserve">Щербаков Виктор</t>
  </si>
  <si>
    <t xml:space="preserve">112,1909</t>
  </si>
  <si>
    <t xml:space="preserve">Открытый Кубок Москвы WPC/AWPC/WAA-2021
«Русская рулетка»
Москва/Москва 14 февраля 2021 г.</t>
  </si>
  <si>
    <t xml:space="preserve">28,0</t>
  </si>
  <si>
    <t xml:space="preserve">33,0</t>
  </si>
  <si>
    <t xml:space="preserve">35,5</t>
  </si>
  <si>
    <t xml:space="preserve">="33,0"</t>
  </si>
  <si>
    <t xml:space="preserve">="29,7924"</t>
  </si>
  <si>
    <t xml:space="preserve">1. Бахрамов Давид</t>
  </si>
  <si>
    <t xml:space="preserve">Юниоры (13.03.2001)/19</t>
  </si>
  <si>
    <t xml:space="preserve">69,40</t>
  </si>
  <si>
    <t xml:space="preserve">Красногорск/Московская область </t>
  </si>
  <si>
    <t xml:space="preserve">60,5</t>
  </si>
  <si>
    <t xml:space="preserve">65,5</t>
  </si>
  <si>
    <t xml:space="preserve">68,0</t>
  </si>
  <si>
    <t xml:space="preserve">="65,5"</t>
  </si>
  <si>
    <t xml:space="preserve">="47,9034"</t>
  </si>
  <si>
    <t xml:space="preserve">38,0</t>
  </si>
  <si>
    <t xml:space="preserve">48,0</t>
  </si>
  <si>
    <t xml:space="preserve">58,0</t>
  </si>
  <si>
    <t xml:space="preserve">63,0</t>
  </si>
  <si>
    <t xml:space="preserve">="58,0"</t>
  </si>
  <si>
    <t xml:space="preserve">="38,6512"</t>
  </si>
  <si>
    <t xml:space="preserve">1. Виткевич Николай</t>
  </si>
  <si>
    <t xml:space="preserve">Открытая (01.01.1965)/56</t>
  </si>
  <si>
    <t xml:space="preserve">120,80</t>
  </si>
  <si>
    <t xml:space="preserve">Брянск/Брянская область </t>
  </si>
  <si>
    <t xml:space="preserve">53,0</t>
  </si>
  <si>
    <t xml:space="preserve">="63,0"</t>
  </si>
  <si>
    <t xml:space="preserve">="34,6563"</t>
  </si>
  <si>
    <t xml:space="preserve">Мастера 40+ (01.01.1965)/56</t>
  </si>
  <si>
    <t xml:space="preserve">="43,1818"</t>
  </si>
  <si>
    <t xml:space="preserve">29,7924</t>
  </si>
  <si>
    <t xml:space="preserve">Бахрамов Давид</t>
  </si>
  <si>
    <t xml:space="preserve">47,9034</t>
  </si>
  <si>
    <t xml:space="preserve">38,6512</t>
  </si>
  <si>
    <t xml:space="preserve">Виткевич Николай</t>
  </si>
  <si>
    <t xml:space="preserve">34,6563</t>
  </si>
  <si>
    <t xml:space="preserve">43,1818</t>
  </si>
  <si>
    <t xml:space="preserve">Открытый Кубок Москвы WPC/AWPC/WAA-2021
AWPC Народный жим (1 вес)
Москва/Москва 13 - 14 февраля 2021 г.</t>
  </si>
  <si>
    <t xml:space="preserve">Собственный 
вес</t>
  </si>
  <si>
    <t xml:space="preserve">Народный жим</t>
  </si>
  <si>
    <t xml:space="preserve">Тоннаж</t>
  </si>
  <si>
    <t xml:space="preserve">Очки</t>
  </si>
  <si>
    <t xml:space="preserve">Тренер</t>
  </si>
  <si>
    <t xml:space="preserve">Вес</t>
  </si>
  <si>
    <t xml:space="preserve">Повторы</t>
  </si>
  <si>
    <t xml:space="preserve">ВЕСОВАЯ КАТЕГОРИЯ   56</t>
  </si>
  <si>
    <t xml:space="preserve">1. Вереникина Мария</t>
  </si>
  <si>
    <t xml:space="preserve">Открытая (14.10.1985)/35</t>
  </si>
  <si>
    <t xml:space="preserve">55,60</t>
  </si>
  <si>
    <t xml:space="preserve">57,5</t>
  </si>
  <si>
    <t xml:space="preserve">16,0</t>
  </si>
  <si>
    <t xml:space="preserve">ВЕСОВАЯ КАТЕГОРИЯ   75</t>
  </si>
  <si>
    <t xml:space="preserve">1. Поликарпов Олег</t>
  </si>
  <si>
    <t xml:space="preserve">Открытая (07.11.1973)/47</t>
  </si>
  <si>
    <t xml:space="preserve">67,80</t>
  </si>
  <si>
    <t xml:space="preserve">44,0</t>
  </si>
  <si>
    <t xml:space="preserve">2. Хохлов Станислав</t>
  </si>
  <si>
    <t xml:space="preserve">Открытая (24.02.1983)/37</t>
  </si>
  <si>
    <t xml:space="preserve">75,00</t>
  </si>
  <si>
    <t xml:space="preserve">Смоленск/Смоленская область </t>
  </si>
  <si>
    <t xml:space="preserve">75,0</t>
  </si>
  <si>
    <t xml:space="preserve">1. Никитченко Сергей</t>
  </si>
  <si>
    <t xml:space="preserve">Ветераны 40 - 49 (10.09.1978)/42</t>
  </si>
  <si>
    <t xml:space="preserve">71,20</t>
  </si>
  <si>
    <t xml:space="preserve">24,0</t>
  </si>
  <si>
    <t xml:space="preserve">ВЕСОВАЯ КАТЕГОРИЯ   82.5</t>
  </si>
  <si>
    <t xml:space="preserve">1. Чориев Данияр</t>
  </si>
  <si>
    <t xml:space="preserve">Открытая (18.12.1986)/34</t>
  </si>
  <si>
    <t xml:space="preserve">81,90</t>
  </si>
  <si>
    <t xml:space="preserve">82,5</t>
  </si>
  <si>
    <t xml:space="preserve">27,0</t>
  </si>
  <si>
    <t xml:space="preserve">1. Варзаков Станислав</t>
  </si>
  <si>
    <t xml:space="preserve">Ветераны 40 - 49 (15.05.1980)/40</t>
  </si>
  <si>
    <t xml:space="preserve">79,60</t>
  </si>
  <si>
    <t xml:space="preserve">Нижневартовск/Ханты-Мансийский авт. окр. </t>
  </si>
  <si>
    <t xml:space="preserve">1. Буслаев Сергей</t>
  </si>
  <si>
    <t xml:space="preserve">Открытая (09.07.1991)/29</t>
  </si>
  <si>
    <t xml:space="preserve">84,70</t>
  </si>
  <si>
    <t xml:space="preserve">Балашиха/Московская область </t>
  </si>
  <si>
    <t xml:space="preserve">23,0</t>
  </si>
  <si>
    <t xml:space="preserve">ВЕСОВАЯ КАТЕГОРИЯ   110</t>
  </si>
  <si>
    <t xml:space="preserve">1. Киреев Дмитрий</t>
  </si>
  <si>
    <t xml:space="preserve">Ветераны 50 - 59 (25.08.1969)/51</t>
  </si>
  <si>
    <t xml:space="preserve">108,10</t>
  </si>
  <si>
    <t xml:space="preserve">Вереникина Мария</t>
  </si>
  <si>
    <t xml:space="preserve">56</t>
  </si>
  <si>
    <t xml:space="preserve">920,0</t>
  </si>
  <si>
    <t xml:space="preserve">966,0000</t>
  </si>
  <si>
    <t xml:space="preserve">Поликарпов Олег</t>
  </si>
  <si>
    <t xml:space="preserve">75</t>
  </si>
  <si>
    <t xml:space="preserve">3080,0</t>
  </si>
  <si>
    <t xml:space="preserve">2296,6020</t>
  </si>
  <si>
    <t xml:space="preserve">Хохлов Станислав</t>
  </si>
  <si>
    <t xml:space="preserve">2100,0</t>
  </si>
  <si>
    <t xml:space="preserve">1445,9550</t>
  </si>
  <si>
    <t xml:space="preserve">Чориев Данияр</t>
  </si>
  <si>
    <t xml:space="preserve">82.5</t>
  </si>
  <si>
    <t xml:space="preserve">2227,5</t>
  </si>
  <si>
    <t xml:space="preserve">1442,6404</t>
  </si>
  <si>
    <t xml:space="preserve">Буслаев Сергей</t>
  </si>
  <si>
    <t xml:space="preserve">1955,0</t>
  </si>
  <si>
    <t xml:space="preserve">1239,4700</t>
  </si>
  <si>
    <t xml:space="preserve">Ветераны </t>
  </si>
  <si>
    <t xml:space="preserve">Киреев Дмитрий</t>
  </si>
  <si>
    <t xml:space="preserve">Ветераны 50 - 59 </t>
  </si>
  <si>
    <t xml:space="preserve">110</t>
  </si>
  <si>
    <t xml:space="preserve">2200,0</t>
  </si>
  <si>
    <t xml:space="preserve">1426,4780</t>
  </si>
  <si>
    <t xml:space="preserve">Варзаков Станислав</t>
  </si>
  <si>
    <t xml:space="preserve">Ветераны 40 - 49 </t>
  </si>
  <si>
    <t xml:space="preserve">2160,0</t>
  </si>
  <si>
    <t xml:space="preserve">1425,7079</t>
  </si>
  <si>
    <t xml:space="preserve">Никитченко Сергей</t>
  </si>
  <si>
    <t xml:space="preserve">1740,0</t>
  </si>
  <si>
    <t xml:space="preserve">1271,5554</t>
  </si>
  <si>
    <t xml:space="preserve">Открытый Кубок Москвы WPC/AWPC/WAA-2021
AWPC строгий подъем на бицепс
Москва/Москва 13 - 14 февраля 2021 г.</t>
  </si>
  <si>
    <t xml:space="preserve">Подъем на бицепс</t>
  </si>
  <si>
    <t xml:space="preserve">Рек</t>
  </si>
  <si>
    <t xml:space="preserve">ВЕСОВАЯ КАТЕГОРИЯ   67.5</t>
  </si>
  <si>
    <t xml:space="preserve">1. Каткова Софья</t>
  </si>
  <si>
    <t xml:space="preserve">Юниорки 20 - 23 (12.03.1999)/21</t>
  </si>
  <si>
    <t xml:space="preserve">64,80</t>
  </si>
  <si>
    <t xml:space="preserve">27,5</t>
  </si>
  <si>
    <t xml:space="preserve">ВЕСОВАЯ КАТЕГОРИЯ   60</t>
  </si>
  <si>
    <t xml:space="preserve">1. Пашалиев Закир</t>
  </si>
  <si>
    <t xml:space="preserve">Юноши 18 - 19 (13.09.2002)/18</t>
  </si>
  <si>
    <t xml:space="preserve">58,00</t>
  </si>
  <si>
    <t xml:space="preserve">Майский/Кабардино-Балкария </t>
  </si>
  <si>
    <t xml:space="preserve">47,5</t>
  </si>
  <si>
    <t xml:space="preserve">1. Бондаренко Егор</t>
  </si>
  <si>
    <t xml:space="preserve">Юноши 16 - 17 (02.12.2004)/16</t>
  </si>
  <si>
    <t xml:space="preserve">61,70</t>
  </si>
  <si>
    <t xml:space="preserve">Нахабино/Московская область </t>
  </si>
  <si>
    <t xml:space="preserve">Юноши 18 - 19 (13.07.2001)/19</t>
  </si>
  <si>
    <t xml:space="preserve">62,5</t>
  </si>
  <si>
    <t xml:space="preserve">1. Кочетков Ярослав</t>
  </si>
  <si>
    <t xml:space="preserve">Юниоры 20 - 23 (04.04.1999)/21</t>
  </si>
  <si>
    <t xml:space="preserve">69,70</t>
  </si>
  <si>
    <t xml:space="preserve">52,5</t>
  </si>
  <si>
    <t xml:space="preserve">55,0</t>
  </si>
  <si>
    <t xml:space="preserve">1. Носов Павел</t>
  </si>
  <si>
    <t xml:space="preserve">Открытая (29.12.1983)/37</t>
  </si>
  <si>
    <t xml:space="preserve">71,60</t>
  </si>
  <si>
    <t xml:space="preserve">2. Карпов Иван</t>
  </si>
  <si>
    <t xml:space="preserve">Открытая (09.12.1987)/33</t>
  </si>
  <si>
    <t xml:space="preserve">73,80</t>
  </si>
  <si>
    <t xml:space="preserve">3. Хохлов Станислав</t>
  </si>
  <si>
    <t xml:space="preserve">Ветераны 40 - 44 (10.09.1978)/42</t>
  </si>
  <si>
    <t xml:space="preserve">1. Ильченко Василий</t>
  </si>
  <si>
    <t xml:space="preserve">Ветераны 55 - 59 (13.05.1963)/57</t>
  </si>
  <si>
    <t xml:space="preserve">1. Аузяк Сергей</t>
  </si>
  <si>
    <t xml:space="preserve">Юниоры 20 - 23 (28.08.1997)/23</t>
  </si>
  <si>
    <t xml:space="preserve">79,00</t>
  </si>
  <si>
    <t xml:space="preserve">Чехов/Московская область </t>
  </si>
  <si>
    <t xml:space="preserve">1. Фомин Роман</t>
  </si>
  <si>
    <t xml:space="preserve">Открытая (21.09.1978)/42</t>
  </si>
  <si>
    <t xml:space="preserve">80,00</t>
  </si>
  <si>
    <t xml:space="preserve">2. Бодренков Павел</t>
  </si>
  <si>
    <t xml:space="preserve">Открытая (21.10.1991)/29</t>
  </si>
  <si>
    <t xml:space="preserve">77,80</t>
  </si>
  <si>
    <t xml:space="preserve">1. Мусаев Исмаил</t>
  </si>
  <si>
    <t xml:space="preserve">Ветераны 50 - 54 (23.12.1969)/51</t>
  </si>
  <si>
    <t xml:space="preserve">78,70</t>
  </si>
  <si>
    <t xml:space="preserve">1. Машошин Евгений</t>
  </si>
  <si>
    <t xml:space="preserve">Открытая (03.12.1983)/37</t>
  </si>
  <si>
    <t xml:space="preserve">89,60</t>
  </si>
  <si>
    <t xml:space="preserve">2. Ракитин Евгений</t>
  </si>
  <si>
    <t xml:space="preserve">Открытая (15.11.1982)/38</t>
  </si>
  <si>
    <t xml:space="preserve">86,00</t>
  </si>
  <si>
    <t xml:space="preserve">Истра/Московская область </t>
  </si>
  <si>
    <t xml:space="preserve">Юноши 18 - 19 (26.03.2001)/19</t>
  </si>
  <si>
    <t xml:space="preserve">67,5</t>
  </si>
  <si>
    <t xml:space="preserve">1. Дударь Игорь</t>
  </si>
  <si>
    <t xml:space="preserve">Открытая (13.09.1984)/36</t>
  </si>
  <si>
    <t xml:space="preserve">98,90</t>
  </si>
  <si>
    <t xml:space="preserve">1. Медведев Владимир</t>
  </si>
  <si>
    <t xml:space="preserve">Ветераны 45 - 49 (15.02.1975)/45</t>
  </si>
  <si>
    <t xml:space="preserve">99,30</t>
  </si>
  <si>
    <t xml:space="preserve">1. корнишин Игорь</t>
  </si>
  <si>
    <t xml:space="preserve">Ветераны 55 - 59 (08.01.1964)/57</t>
  </si>
  <si>
    <t xml:space="preserve">110,70</t>
  </si>
  <si>
    <t xml:space="preserve">ВЕСОВАЯ КАТЕГОРИЯ   140</t>
  </si>
  <si>
    <t xml:space="preserve">1. Левшин Владимир</t>
  </si>
  <si>
    <t xml:space="preserve">Открытая (07.10.1985)/35</t>
  </si>
  <si>
    <t xml:space="preserve">127,50</t>
  </si>
  <si>
    <t xml:space="preserve">Новомосковск/Тульская область </t>
  </si>
  <si>
    <t xml:space="preserve">Юниорки </t>
  </si>
  <si>
    <t xml:space="preserve">Каткова Софья</t>
  </si>
  <si>
    <t xml:space="preserve">Юниоры 20 - 23 </t>
  </si>
  <si>
    <t xml:space="preserve">67.5</t>
  </si>
  <si>
    <t xml:space="preserve">23,2225</t>
  </si>
  <si>
    <t xml:space="preserve">22,5700</t>
  </si>
  <si>
    <t xml:space="preserve">Юноши </t>
  </si>
  <si>
    <t xml:space="preserve">Юноши 18 - 19 </t>
  </si>
  <si>
    <t xml:space="preserve">44,0148</t>
  </si>
  <si>
    <t xml:space="preserve">Пашалиев Закир</t>
  </si>
  <si>
    <t xml:space="preserve">60</t>
  </si>
  <si>
    <t xml:space="preserve">40,9070</t>
  </si>
  <si>
    <t xml:space="preserve">40,1523</t>
  </si>
  <si>
    <t xml:space="preserve">Бондаренко Егор</t>
  </si>
  <si>
    <t xml:space="preserve">Юноши 16 - 17 </t>
  </si>
  <si>
    <t xml:space="preserve">36,4927</t>
  </si>
  <si>
    <t xml:space="preserve">Аузяк Сергей</t>
  </si>
  <si>
    <t xml:space="preserve">39,8100</t>
  </si>
  <si>
    <t xml:space="preserve">Кочетков Ярослав</t>
  </si>
  <si>
    <t xml:space="preserve">38,2620</t>
  </si>
  <si>
    <t xml:space="preserve">Носов Павел</t>
  </si>
  <si>
    <t xml:space="preserve">42,7950</t>
  </si>
  <si>
    <t xml:space="preserve">Фомин Роман</t>
  </si>
  <si>
    <t xml:space="preserve">42,7570</t>
  </si>
  <si>
    <t xml:space="preserve">Карпов Иван</t>
  </si>
  <si>
    <t xml:space="preserve">41,8110</t>
  </si>
  <si>
    <t xml:space="preserve">39,5916</t>
  </si>
  <si>
    <t xml:space="preserve">Бодренков Павел</t>
  </si>
  <si>
    <t xml:space="preserve">36,8830</t>
  </si>
  <si>
    <t xml:space="preserve">Машошин Евгений</t>
  </si>
  <si>
    <t xml:space="preserve">36,8010</t>
  </si>
  <si>
    <t xml:space="preserve">Левшин Владимир</t>
  </si>
  <si>
    <t xml:space="preserve">140</t>
  </si>
  <si>
    <t xml:space="preserve">36,6403</t>
  </si>
  <si>
    <t xml:space="preserve">Дударь Игорь</t>
  </si>
  <si>
    <t xml:space="preserve">35,0430</t>
  </si>
  <si>
    <t xml:space="preserve">Ракитин Евгений</t>
  </si>
  <si>
    <t xml:space="preserve">34,5455</t>
  </si>
  <si>
    <t xml:space="preserve">Ильченко Василий</t>
  </si>
  <si>
    <t xml:space="preserve">Ветераны 55 - 59 </t>
  </si>
  <si>
    <t xml:space="preserve">48,5983</t>
  </si>
  <si>
    <t xml:space="preserve">Ветераны 40 - 44 </t>
  </si>
  <si>
    <t xml:space="preserve">45,6737</t>
  </si>
  <si>
    <t xml:space="preserve">Мусаев Исмаил</t>
  </si>
  <si>
    <t xml:space="preserve">Ветераны 50 - 54 </t>
  </si>
  <si>
    <t xml:space="preserve">38,1492</t>
  </si>
  <si>
    <t xml:space="preserve">Медведев Владимир</t>
  </si>
  <si>
    <t xml:space="preserve">Ветераны 45 - 49 </t>
  </si>
  <si>
    <t xml:space="preserve">36,9071</t>
  </si>
  <si>
    <t xml:space="preserve">корнишин Игорь</t>
  </si>
  <si>
    <t xml:space="preserve">33,8222</t>
  </si>
  <si>
    <t xml:space="preserve">Открытый Кубок Москвы WPC/AWPC/WAA-2021
AWPC тяга становая без экипировки
Москва/Москва 13 - 14 февраля 2021 г.</t>
  </si>
  <si>
    <t xml:space="preserve">Становая тяга</t>
  </si>
  <si>
    <t xml:space="preserve">ВЕСОВАЯ КАТЕГОРИЯ   52</t>
  </si>
  <si>
    <t xml:space="preserve">1. Енина Елена</t>
  </si>
  <si>
    <t xml:space="preserve">Открытая (10.05.1989)/31</t>
  </si>
  <si>
    <t xml:space="preserve">52,00</t>
  </si>
  <si>
    <t xml:space="preserve">122,5</t>
  </si>
  <si>
    <t xml:space="preserve">127,5</t>
  </si>
  <si>
    <t xml:space="preserve">132,5</t>
  </si>
  <si>
    <t xml:space="preserve">1. Уганина Ольга</t>
  </si>
  <si>
    <t xml:space="preserve">Ветераны 40 - 44 (28.04.1979)/41</t>
  </si>
  <si>
    <t xml:space="preserve">55,70</t>
  </si>
  <si>
    <t xml:space="preserve">147,5</t>
  </si>
  <si>
    <t xml:space="preserve">1. Крылова Софья</t>
  </si>
  <si>
    <t xml:space="preserve">Девушки 18 - 19 (19.06.2002)/18</t>
  </si>
  <si>
    <t xml:space="preserve">67,10</t>
  </si>
  <si>
    <t xml:space="preserve">117,5</t>
  </si>
  <si>
    <t xml:space="preserve">125,0</t>
  </si>
  <si>
    <t xml:space="preserve">1. Ничкова Анастасия</t>
  </si>
  <si>
    <t xml:space="preserve">Открытая (24.05.1996)/24</t>
  </si>
  <si>
    <t xml:space="preserve">62,80</t>
  </si>
  <si>
    <t xml:space="preserve">2. Грибунова Мария</t>
  </si>
  <si>
    <t xml:space="preserve">Открытая (06.03.1981)/39</t>
  </si>
  <si>
    <t xml:space="preserve">66,30</t>
  </si>
  <si>
    <t xml:space="preserve">Комсомольск-на-Амуре/Хабаровский край </t>
  </si>
  <si>
    <t xml:space="preserve">115,0</t>
  </si>
  <si>
    <t xml:space="preserve">1. Раскачнова Ирина</t>
  </si>
  <si>
    <t xml:space="preserve">Ветераны 45 - 49 (20.03.1973)/47</t>
  </si>
  <si>
    <t xml:space="preserve">63,90</t>
  </si>
  <si>
    <t xml:space="preserve">1. Хохлов Станислав</t>
  </si>
  <si>
    <t xml:space="preserve">155,0</t>
  </si>
  <si>
    <t xml:space="preserve">177,5</t>
  </si>
  <si>
    <t xml:space="preserve">1. Шубич Максим</t>
  </si>
  <si>
    <t xml:space="preserve">Юниоры 20 - 23 (10.09.1999)/21</t>
  </si>
  <si>
    <t xml:space="preserve">79,30</t>
  </si>
  <si>
    <t xml:space="preserve">Реутов/Московская область </t>
  </si>
  <si>
    <t xml:space="preserve">170,0</t>
  </si>
  <si>
    <t xml:space="preserve">1. Седов Кирилл</t>
  </si>
  <si>
    <t xml:space="preserve">Открытая (14.09.1991)/29</t>
  </si>
  <si>
    <t xml:space="preserve">79,70</t>
  </si>
  <si>
    <t xml:space="preserve">175,0</t>
  </si>
  <si>
    <t xml:space="preserve">185,0</t>
  </si>
  <si>
    <t xml:space="preserve">190,0</t>
  </si>
  <si>
    <t xml:space="preserve">2. Киреев Денис</t>
  </si>
  <si>
    <t xml:space="preserve">Открытая (02.02.1988)/33</t>
  </si>
  <si>
    <t xml:space="preserve">80,80</t>
  </si>
  <si>
    <t xml:space="preserve">Динамо-32 </t>
  </si>
  <si>
    <t xml:space="preserve">Воскресенск/Московская область </t>
  </si>
  <si>
    <t xml:space="preserve">1. Волков Максим</t>
  </si>
  <si>
    <t xml:space="preserve">Открытая (31.08.1993)/27</t>
  </si>
  <si>
    <t xml:space="preserve">88,20</t>
  </si>
  <si>
    <t xml:space="preserve">Жуковский/Московская область </t>
  </si>
  <si>
    <t xml:space="preserve">200,0</t>
  </si>
  <si>
    <t xml:space="preserve">210,0</t>
  </si>
  <si>
    <t xml:space="preserve">-. Калачев Никита</t>
  </si>
  <si>
    <t xml:space="preserve">Открытая (02.09.1986)/34</t>
  </si>
  <si>
    <t xml:space="preserve">89,70</t>
  </si>
  <si>
    <t xml:space="preserve">1. Филимонов Алексей</t>
  </si>
  <si>
    <t xml:space="preserve">Открытая (12.09.1987)/33</t>
  </si>
  <si>
    <t xml:space="preserve">95,30</t>
  </si>
  <si>
    <t xml:space="preserve">Подольск/Московская область </t>
  </si>
  <si>
    <t xml:space="preserve">235,0</t>
  </si>
  <si>
    <t xml:space="preserve">245,0</t>
  </si>
  <si>
    <t xml:space="preserve">250,0</t>
  </si>
  <si>
    <t xml:space="preserve">2. Красновский Андрей</t>
  </si>
  <si>
    <t xml:space="preserve">Открытая (23.07.1987)/33</t>
  </si>
  <si>
    <t xml:space="preserve">95,70</t>
  </si>
  <si>
    <t xml:space="preserve">202,5</t>
  </si>
  <si>
    <t xml:space="preserve">205,0</t>
  </si>
  <si>
    <t xml:space="preserve">3. Есаян Николай</t>
  </si>
  <si>
    <t xml:space="preserve">Открытая (17.08.1994)/26</t>
  </si>
  <si>
    <t xml:space="preserve">96,60</t>
  </si>
  <si>
    <t xml:space="preserve">Наро-Фоминск/Московская область </t>
  </si>
  <si>
    <t xml:space="preserve">4. Носенко Сергей</t>
  </si>
  <si>
    <t xml:space="preserve">Открытая (16.06.1982)/38</t>
  </si>
  <si>
    <t xml:space="preserve">97,20</t>
  </si>
  <si>
    <t xml:space="preserve">1. Корзинкин Вадим</t>
  </si>
  <si>
    <t xml:space="preserve">Открытая (26.03.1983)/37</t>
  </si>
  <si>
    <t xml:space="preserve">122,60</t>
  </si>
  <si>
    <t xml:space="preserve">240,0</t>
  </si>
  <si>
    <t xml:space="preserve">265,0</t>
  </si>
  <si>
    <t xml:space="preserve">285,0</t>
  </si>
  <si>
    <t xml:space="preserve">Девушки </t>
  </si>
  <si>
    <t xml:space="preserve">Крылова Софья</t>
  </si>
  <si>
    <t xml:space="preserve">112,9813</t>
  </si>
  <si>
    <t xml:space="preserve">Енина Елена</t>
  </si>
  <si>
    <t xml:space="preserve">52</t>
  </si>
  <si>
    <t xml:space="preserve">146,7570</t>
  </si>
  <si>
    <t xml:space="preserve">Ничкова Анастасия</t>
  </si>
  <si>
    <t xml:space="preserve">111,8894</t>
  </si>
  <si>
    <t xml:space="preserve">Грибунова Мария</t>
  </si>
  <si>
    <t xml:space="preserve">104,9202</t>
  </si>
  <si>
    <t xml:space="preserve">Уганина Ольга</t>
  </si>
  <si>
    <t xml:space="preserve">156,1854</t>
  </si>
  <si>
    <t xml:space="preserve">Раскачнова Ирина</t>
  </si>
  <si>
    <t xml:space="preserve">127,0268</t>
  </si>
  <si>
    <t xml:space="preserve">Шубич Максим</t>
  </si>
  <si>
    <t xml:space="preserve">105,8800</t>
  </si>
  <si>
    <t xml:space="preserve">Корзинкин Вадим</t>
  </si>
  <si>
    <t xml:space="preserve">156,2370</t>
  </si>
  <si>
    <t xml:space="preserve">Филимонов Алексей</t>
  </si>
  <si>
    <t xml:space="preserve">145,5300</t>
  </si>
  <si>
    <t xml:space="preserve">Волков Максим</t>
  </si>
  <si>
    <t xml:space="preserve">137,6941</t>
  </si>
  <si>
    <t xml:space="preserve">Седов Кирилл</t>
  </si>
  <si>
    <t xml:space="preserve">125,3050</t>
  </si>
  <si>
    <t xml:space="preserve">122,2176</t>
  </si>
  <si>
    <t xml:space="preserve">Красновский Андрей</t>
  </si>
  <si>
    <t xml:space="preserve">121,5343</t>
  </si>
  <si>
    <t xml:space="preserve">Есаян Николай</t>
  </si>
  <si>
    <t xml:space="preserve">118,0400</t>
  </si>
  <si>
    <t xml:space="preserve">Киреев Денис</t>
  </si>
  <si>
    <t xml:space="preserve">114,3538</t>
  </si>
  <si>
    <t xml:space="preserve">Носенко Сергей</t>
  </si>
  <si>
    <t xml:space="preserve">108,8817</t>
  </si>
  <si>
    <t xml:space="preserve">Открытый Кубок Москвы WPC/AWPC/WAA-2021
WPC тяга становая в однослойной экипировке
Москва/Москва 13 - 14 февраля 2021 г.</t>
  </si>
  <si>
    <t xml:space="preserve">1. Фокин Денис</t>
  </si>
  <si>
    <t xml:space="preserve">Открытая (04.09.1987)/33</t>
  </si>
  <si>
    <t xml:space="preserve">95,90</t>
  </si>
  <si>
    <t xml:space="preserve">220,0</t>
  </si>
  <si>
    <t xml:space="preserve">230,0</t>
  </si>
  <si>
    <t xml:space="preserve">Фокин Денис</t>
  </si>
  <si>
    <t xml:space="preserve">139,1787</t>
  </si>
  <si>
    <t xml:space="preserve">Открытый Кубок Москвы WPC/AWPC/WAA-2021
WPC тяга становая без экипировки
Москва/Москва 13 - 14 февраля 2021 г.</t>
  </si>
  <si>
    <t xml:space="preserve">1. Стародубова Дарья</t>
  </si>
  <si>
    <t xml:space="preserve">Девушки 16 - 17 (27.09.2004)/16</t>
  </si>
  <si>
    <t xml:space="preserve">80,90</t>
  </si>
  <si>
    <t xml:space="preserve">180,0</t>
  </si>
  <si>
    <t xml:space="preserve">1. Мисиюк Вячеслав</t>
  </si>
  <si>
    <t xml:space="preserve">Открытая (11.11.1984)/36</t>
  </si>
  <si>
    <t xml:space="preserve">88,10</t>
  </si>
  <si>
    <t xml:space="preserve">Дорогобуж/Смоленская область </t>
  </si>
  <si>
    <t xml:space="preserve">1. Корниленко Александр</t>
  </si>
  <si>
    <t xml:space="preserve">Ветераны 45 - 49 (27.09.1975)/45</t>
  </si>
  <si>
    <t xml:space="preserve">89,40</t>
  </si>
  <si>
    <t xml:space="preserve">Стародубова Дарья</t>
  </si>
  <si>
    <t xml:space="preserve">147,2878</t>
  </si>
  <si>
    <t xml:space="preserve">Мисиюк Вячеслав</t>
  </si>
  <si>
    <t xml:space="preserve">154,8125</t>
  </si>
  <si>
    <t xml:space="preserve">Корниленко Александр</t>
  </si>
  <si>
    <t xml:space="preserve">131,2055</t>
  </si>
  <si>
    <t xml:space="preserve">Открытый Кубок Москвы WPC/AWPC/WAA-2021
AWPC жим лежа в стандартной софт экипировке
Москва/Москва 13 - 14 февраля 2021 г.</t>
  </si>
  <si>
    <t xml:space="preserve">Жим лёжа</t>
  </si>
  <si>
    <t xml:space="preserve">1. Смурова Дарья</t>
  </si>
  <si>
    <t xml:space="preserve">Открытая (28.12.1996)/24</t>
  </si>
  <si>
    <t xml:space="preserve">54,20</t>
  </si>
  <si>
    <t xml:space="preserve">Империум </t>
  </si>
  <si>
    <t xml:space="preserve">1. Лымарева Елена</t>
  </si>
  <si>
    <t xml:space="preserve">Ветераны 50 - 54 (20.04.1966)/54</t>
  </si>
  <si>
    <t xml:space="preserve">72,00</t>
  </si>
  <si>
    <t xml:space="preserve">1. Сметанкин Алексей</t>
  </si>
  <si>
    <t xml:space="preserve">Юноши 13 - 15 (26.09.2008)/12</t>
  </si>
  <si>
    <t xml:space="preserve">76,10</t>
  </si>
  <si>
    <t xml:space="preserve">-. Чуб Игорь</t>
  </si>
  <si>
    <t xml:space="preserve">Открытая (19.06.1996)/24</t>
  </si>
  <si>
    <t xml:space="preserve">87,80</t>
  </si>
  <si>
    <t xml:space="preserve">1. Петров Алексей</t>
  </si>
  <si>
    <t xml:space="preserve">Ветераны 45 - 49 (25.03.1975)/45</t>
  </si>
  <si>
    <t xml:space="preserve">136,60</t>
  </si>
  <si>
    <t xml:space="preserve">Смурова Дарья</t>
  </si>
  <si>
    <t xml:space="preserve">69,6540</t>
  </si>
  <si>
    <t xml:space="preserve">Лымарева Елена</t>
  </si>
  <si>
    <t xml:space="preserve">113,8388</t>
  </si>
  <si>
    <t xml:space="preserve">Сметанкин Алексей</t>
  </si>
  <si>
    <t xml:space="preserve">Юноши 13 - 15 </t>
  </si>
  <si>
    <t xml:space="preserve">61,3125</t>
  </si>
  <si>
    <t xml:space="preserve">Петров Алексей</t>
  </si>
  <si>
    <t xml:space="preserve">140,8662</t>
  </si>
  <si>
    <t xml:space="preserve">Открытый Кубок Москвы WPC/AWPC/WAA-2021
AWPC жим лежа в однослойной экипировке
Москва/Москва 13 - 14 февраля 2021 г.</t>
  </si>
  <si>
    <t xml:space="preserve">1. Селянин Дмитрий</t>
  </si>
  <si>
    <t xml:space="preserve">Юноши 13 - 15 (10.11.2005)/15</t>
  </si>
  <si>
    <t xml:space="preserve">55,30</t>
  </si>
  <si>
    <t xml:space="preserve">Нефтекамск/Башкортостан республика </t>
  </si>
  <si>
    <t xml:space="preserve">Селянин Дмитрий</t>
  </si>
  <si>
    <t xml:space="preserve">108,5220</t>
  </si>
  <si>
    <t xml:space="preserve">Открытый Кубок Москвы WPC/AWPC/WAA-2021
WPC жим стоя
Москва/Москва 13 - 14 февраля 2021 г.</t>
  </si>
  <si>
    <t xml:space="preserve">Жим стоя</t>
  </si>
  <si>
    <t xml:space="preserve">1. Барейшин Алексей</t>
  </si>
  <si>
    <t xml:space="preserve">Открытая (27.10.1981)/39</t>
  </si>
  <si>
    <t xml:space="preserve">103,10</t>
  </si>
  <si>
    <t xml:space="preserve">Барейшин Алексей</t>
  </si>
  <si>
    <t xml:space="preserve">54,5680</t>
  </si>
  <si>
    <t xml:space="preserve">Открытый Кубок Москвы WPC/AWPC/WAA-2021
AWPC жим лежа без экипировки
Москва/Москва 13 - 14 февраля 2021 г.</t>
  </si>
  <si>
    <t xml:space="preserve">ВЕСОВАЯ КАТЕГОРИЯ   44</t>
  </si>
  <si>
    <t xml:space="preserve">1. Грибахо Оксана</t>
  </si>
  <si>
    <t xml:space="preserve">Открытая (13.12.1990)/30</t>
  </si>
  <si>
    <t xml:space="preserve">44,00</t>
  </si>
  <si>
    <t xml:space="preserve">1. Антонова Екатерина</t>
  </si>
  <si>
    <t xml:space="preserve">Юниорки 20 - 23 (06.12.2000)/20</t>
  </si>
  <si>
    <t xml:space="preserve">-. Фомина Маргарита</t>
  </si>
  <si>
    <t xml:space="preserve">Открытая (28.09.1989)/31</t>
  </si>
  <si>
    <t xml:space="preserve">51,10</t>
  </si>
  <si>
    <t xml:space="preserve">42,5</t>
  </si>
  <si>
    <t xml:space="preserve">2. Мартынова Дарья</t>
  </si>
  <si>
    <t xml:space="preserve">Открытая (20.01.1989)/32</t>
  </si>
  <si>
    <t xml:space="preserve">53,70</t>
  </si>
  <si>
    <t xml:space="preserve">37,5</t>
  </si>
  <si>
    <t xml:space="preserve">1. Лоскутова Галина</t>
  </si>
  <si>
    <t xml:space="preserve">Открытая (17.05.1987)/33</t>
  </si>
  <si>
    <t xml:space="preserve">Знаменск/Астраханская область </t>
  </si>
  <si>
    <t xml:space="preserve">1. Зоненко Татьяна</t>
  </si>
  <si>
    <t xml:space="preserve">Юниорки 20 - 23 (24.02.1998)/22</t>
  </si>
  <si>
    <t xml:space="preserve">72,40</t>
  </si>
  <si>
    <t xml:space="preserve">Ветераны 40 - 44 (17.06.1980)/40</t>
  </si>
  <si>
    <t xml:space="preserve">1. Финкельбаум Марк</t>
  </si>
  <si>
    <t xml:space="preserve">Юноши 13 - 15 (25.04.2008)/12</t>
  </si>
  <si>
    <t xml:space="preserve">48,50</t>
  </si>
  <si>
    <t xml:space="preserve">22,5</t>
  </si>
  <si>
    <t xml:space="preserve">102,5</t>
  </si>
  <si>
    <t xml:space="preserve">105,0</t>
  </si>
  <si>
    <t xml:space="preserve">1. Ивкин Роман</t>
  </si>
  <si>
    <t xml:space="preserve">Юноши 13 - 15 (17.11.2006)/14</t>
  </si>
  <si>
    <t xml:space="preserve">63,50</t>
  </si>
  <si>
    <t xml:space="preserve">Пересвет/Московская область </t>
  </si>
  <si>
    <t xml:space="preserve">Ивкин Сергей </t>
  </si>
  <si>
    <t xml:space="preserve">1. Рощин Александр</t>
  </si>
  <si>
    <t xml:space="preserve">Открытая (01.07.1988)/32</t>
  </si>
  <si>
    <t xml:space="preserve">66,10</t>
  </si>
  <si>
    <t xml:space="preserve">2. Колесников Василий</t>
  </si>
  <si>
    <t xml:space="preserve">Открытая (17.02.1994)/26</t>
  </si>
  <si>
    <t xml:space="preserve">65,70</t>
  </si>
  <si>
    <t xml:space="preserve">87,5</t>
  </si>
  <si>
    <t xml:space="preserve">97,5</t>
  </si>
  <si>
    <t xml:space="preserve">107,5</t>
  </si>
  <si>
    <t xml:space="preserve">1. Соковцев Михаил</t>
  </si>
  <si>
    <t xml:space="preserve">Юноши 18 - 19 (25.09.2001)/19</t>
  </si>
  <si>
    <t xml:space="preserve">73,70</t>
  </si>
  <si>
    <t xml:space="preserve">112,5</t>
  </si>
  <si>
    <t xml:space="preserve">2. Леонов Евгений</t>
  </si>
  <si>
    <t xml:space="preserve">Юниоры 20 - 23 (07.03.1997)/23</t>
  </si>
  <si>
    <t xml:space="preserve">73,00</t>
  </si>
  <si>
    <t xml:space="preserve">3. Степанов Александр</t>
  </si>
  <si>
    <t xml:space="preserve">Юниоры 20 - 23 (18.01.2000)/21</t>
  </si>
  <si>
    <t xml:space="preserve">74,10</t>
  </si>
  <si>
    <t xml:space="preserve">1. Некрасов Сергей</t>
  </si>
  <si>
    <t xml:space="preserve">Открытая (14.12.1965)/55</t>
  </si>
  <si>
    <t xml:space="preserve">72,60</t>
  </si>
  <si>
    <t xml:space="preserve">2. Крылов Михаил</t>
  </si>
  <si>
    <t xml:space="preserve">Открытая (18.11.1982)/38</t>
  </si>
  <si>
    <t xml:space="preserve">73,30</t>
  </si>
  <si>
    <t xml:space="preserve">Сергиев Посад/Московская область </t>
  </si>
  <si>
    <t xml:space="preserve">3. Бельцев Иван</t>
  </si>
  <si>
    <t xml:space="preserve">Открытая (24.08.1988)/32</t>
  </si>
  <si>
    <t xml:space="preserve">73,50</t>
  </si>
  <si>
    <t xml:space="preserve">Московский/Московская область </t>
  </si>
  <si>
    <t xml:space="preserve">4. Смирнов Вадим</t>
  </si>
  <si>
    <t xml:space="preserve">Открытая (26.10.1995)/25</t>
  </si>
  <si>
    <t xml:space="preserve">74,50</t>
  </si>
  <si>
    <t xml:space="preserve">1. Ткаченко Виталий</t>
  </si>
  <si>
    <t xml:space="preserve">Ветераны 40 - 44 (01.12.1980)/40</t>
  </si>
  <si>
    <t xml:space="preserve">74,30</t>
  </si>
  <si>
    <t xml:space="preserve">Ростов-на-Дону/Ростовская область </t>
  </si>
  <si>
    <t xml:space="preserve">135,0</t>
  </si>
  <si>
    <t xml:space="preserve">137,5</t>
  </si>
  <si>
    <t xml:space="preserve">Ветераны 55 - 59 (14.12.1965)/55</t>
  </si>
  <si>
    <t xml:space="preserve">1. Алимов Артем</t>
  </si>
  <si>
    <t xml:space="preserve">Юноши 16 - 17 (25.09.2004)/16</t>
  </si>
  <si>
    <t xml:space="preserve">81,80</t>
  </si>
  <si>
    <t xml:space="preserve">Туляков Никита </t>
  </si>
  <si>
    <t xml:space="preserve">1. Куликов Юрий</t>
  </si>
  <si>
    <t xml:space="preserve">Юниоры 20 - 23 (25.07.1997)/23</t>
  </si>
  <si>
    <t xml:space="preserve">Новосибирск/Новосибирская область </t>
  </si>
  <si>
    <t xml:space="preserve">2. Седов Кирилл</t>
  </si>
  <si>
    <t xml:space="preserve">3. Шишков Иван</t>
  </si>
  <si>
    <t xml:space="preserve">Открытая (06.04.1996)/24</t>
  </si>
  <si>
    <t xml:space="preserve">80,30</t>
  </si>
  <si>
    <t xml:space="preserve">4. Бочаров Евгений</t>
  </si>
  <si>
    <t xml:space="preserve">Открытая (27.11.1987)/33</t>
  </si>
  <si>
    <t xml:space="preserve">79,40</t>
  </si>
  <si>
    <t xml:space="preserve">Ветераны 40 - 44 (15.05.1980)/40</t>
  </si>
  <si>
    <t xml:space="preserve">2. Аушев Александр</t>
  </si>
  <si>
    <t xml:space="preserve">Ветераны 40 - 44 (09.01.1981)/40</t>
  </si>
  <si>
    <t xml:space="preserve">81,60</t>
  </si>
  <si>
    <t xml:space="preserve">1. Страмцов Тимофей</t>
  </si>
  <si>
    <t xml:space="preserve">Юниоры 20 - 23 (05.02.1999)/22</t>
  </si>
  <si>
    <t xml:space="preserve">84,20</t>
  </si>
  <si>
    <t xml:space="preserve">Рязань/Рязанская область </t>
  </si>
  <si>
    <t xml:space="preserve">152,5</t>
  </si>
  <si>
    <t xml:space="preserve">2. Бочко Матвей</t>
  </si>
  <si>
    <t xml:space="preserve">Юниоры 20 - 23 (19.05.1998)/22</t>
  </si>
  <si>
    <t xml:space="preserve">90,00</t>
  </si>
  <si>
    <t xml:space="preserve">1. Григорьянц Роман</t>
  </si>
  <si>
    <t xml:space="preserve">Открытая (17.05.1983)/37</t>
  </si>
  <si>
    <t xml:space="preserve">89,10</t>
  </si>
  <si>
    <t xml:space="preserve">165,0</t>
  </si>
  <si>
    <t xml:space="preserve">2. Щербинин Михаил</t>
  </si>
  <si>
    <t xml:space="preserve">Открытая (04.05.1984)/36</t>
  </si>
  <si>
    <t xml:space="preserve">88,70</t>
  </si>
  <si>
    <t xml:space="preserve">3. Никонов Денис</t>
  </si>
  <si>
    <t xml:space="preserve">Открытая (21.03.1982)/38</t>
  </si>
  <si>
    <t xml:space="preserve">88,30</t>
  </si>
  <si>
    <t xml:space="preserve">4. Леонтьев Владимир</t>
  </si>
  <si>
    <t xml:space="preserve">Открытая (07.09.1989)/31</t>
  </si>
  <si>
    <t xml:space="preserve">87,40</t>
  </si>
  <si>
    <t xml:space="preserve">-. Шатов Антон</t>
  </si>
  <si>
    <t xml:space="preserve">Открытая (05.04.1986)/34</t>
  </si>
  <si>
    <t xml:space="preserve">86,50</t>
  </si>
  <si>
    <t xml:space="preserve">Калуга/Калужская область </t>
  </si>
  <si>
    <t xml:space="preserve">1. Андреев Дмитрий</t>
  </si>
  <si>
    <t xml:space="preserve">Ветераны 40 - 44 (16.11.1980)/40</t>
  </si>
  <si>
    <t xml:space="preserve">2. Камшилин Дмитрий</t>
  </si>
  <si>
    <t xml:space="preserve">Открытая (20.06.1984)/36</t>
  </si>
  <si>
    <t xml:space="preserve">94,60</t>
  </si>
  <si>
    <t xml:space="preserve">3. Сухов Евгений</t>
  </si>
  <si>
    <t xml:space="preserve">Открытая (20.02.1981)/39</t>
  </si>
  <si>
    <t xml:space="preserve">96,00</t>
  </si>
  <si>
    <t xml:space="preserve">4. Буров Евгений</t>
  </si>
  <si>
    <t xml:space="preserve">Открытая (04.11.1990)/30</t>
  </si>
  <si>
    <t xml:space="preserve">97,70</t>
  </si>
  <si>
    <t xml:space="preserve">Щёлково/Московская область </t>
  </si>
  <si>
    <t xml:space="preserve">162,5</t>
  </si>
  <si>
    <t xml:space="preserve">1. Спиркин Евгений</t>
  </si>
  <si>
    <t xml:space="preserve">Открытая (14.11.1987)/33</t>
  </si>
  <si>
    <t xml:space="preserve">108,90</t>
  </si>
  <si>
    <t xml:space="preserve">167,5</t>
  </si>
  <si>
    <t xml:space="preserve">177,0</t>
  </si>
  <si>
    <t xml:space="preserve">2. Козлов Владислав</t>
  </si>
  <si>
    <t xml:space="preserve">Открытая (10.02.1997)/24</t>
  </si>
  <si>
    <t xml:space="preserve">105,50</t>
  </si>
  <si>
    <t xml:space="preserve">1. Орехов Валентин</t>
  </si>
  <si>
    <t xml:space="preserve">Ветераны 40 - 44 (10.01.1977)/44</t>
  </si>
  <si>
    <t xml:space="preserve">Тула/Тульская область </t>
  </si>
  <si>
    <t xml:space="preserve">Ветераны 50 - 54 (25.08.1969)/51</t>
  </si>
  <si>
    <t xml:space="preserve">1. Яковенко Владимир</t>
  </si>
  <si>
    <t xml:space="preserve">Ветераны 60 - 64 (27.03.1959)/61</t>
  </si>
  <si>
    <t xml:space="preserve">109,50</t>
  </si>
  <si>
    <t xml:space="preserve">Можайск/Московская область </t>
  </si>
  <si>
    <t xml:space="preserve">1. Задыхин Максим</t>
  </si>
  <si>
    <t xml:space="preserve">Юниоры 20 - 23 (19.04.1997)/23</t>
  </si>
  <si>
    <t xml:space="preserve">122,20</t>
  </si>
  <si>
    <t xml:space="preserve">172,5</t>
  </si>
  <si>
    <t xml:space="preserve">1. Яскин Роман</t>
  </si>
  <si>
    <t xml:space="preserve">Ветераны 40 - 44 (06.04.1976)/44</t>
  </si>
  <si>
    <t xml:space="preserve">118,90</t>
  </si>
  <si>
    <t xml:space="preserve">142,5</t>
  </si>
  <si>
    <t xml:space="preserve">1. Бычков Игорь</t>
  </si>
  <si>
    <t xml:space="preserve">Ветераны 50 - 54 (18.06.1970)/50</t>
  </si>
  <si>
    <t xml:space="preserve">113,00</t>
  </si>
  <si>
    <t xml:space="preserve">1. Чубаров Владимир</t>
  </si>
  <si>
    <t xml:space="preserve">Ветераны 55 - 59 (03.04.1964)/56</t>
  </si>
  <si>
    <t xml:space="preserve">134,40</t>
  </si>
  <si>
    <t xml:space="preserve">182,5</t>
  </si>
  <si>
    <t xml:space="preserve">Антонова Екатерина</t>
  </si>
  <si>
    <t xml:space="preserve">66,4560</t>
  </si>
  <si>
    <t xml:space="preserve">46,4450</t>
  </si>
  <si>
    <t xml:space="preserve">Зоненко Татьяна</t>
  </si>
  <si>
    <t xml:space="preserve">38,5335</t>
  </si>
  <si>
    <t xml:space="preserve">81,3750</t>
  </si>
  <si>
    <t xml:space="preserve">Грибахо Оксана</t>
  </si>
  <si>
    <t xml:space="preserve">44</t>
  </si>
  <si>
    <t xml:space="preserve">66,0450</t>
  </si>
  <si>
    <t xml:space="preserve">Лоскутова Галина</t>
  </si>
  <si>
    <t xml:space="preserve">49,3080</t>
  </si>
  <si>
    <t xml:space="preserve">Мартынова Дарья</t>
  </si>
  <si>
    <t xml:space="preserve">40,4850</t>
  </si>
  <si>
    <t xml:space="preserve">77,6174</t>
  </si>
  <si>
    <t xml:space="preserve">56,6898</t>
  </si>
  <si>
    <t xml:space="preserve">92,6959</t>
  </si>
  <si>
    <t xml:space="preserve">Соковцев Михаил</t>
  </si>
  <si>
    <t xml:space="preserve">81,9621</t>
  </si>
  <si>
    <t xml:space="preserve">Алимов Артем</t>
  </si>
  <si>
    <t xml:space="preserve">63,1995</t>
  </si>
  <si>
    <t xml:space="preserve">Ивкин Роман</t>
  </si>
  <si>
    <t xml:space="preserve">55,2755</t>
  </si>
  <si>
    <t xml:space="preserve">Финкельбаум Марк</t>
  </si>
  <si>
    <t xml:space="preserve">26,1475</t>
  </si>
  <si>
    <t xml:space="preserve">Страмцов Тимофей</t>
  </si>
  <si>
    <t xml:space="preserve">97,0358</t>
  </si>
  <si>
    <t xml:space="preserve">Куликов Юрий</t>
  </si>
  <si>
    <t xml:space="preserve">95,7072</t>
  </si>
  <si>
    <t xml:space="preserve">91,1000</t>
  </si>
  <si>
    <t xml:space="preserve">Бочко Матвей</t>
  </si>
  <si>
    <t xml:space="preserve">85,6590</t>
  </si>
  <si>
    <t xml:space="preserve">Леонов Евгений</t>
  </si>
  <si>
    <t xml:space="preserve">84,3180</t>
  </si>
  <si>
    <t xml:space="preserve">Степанов Александр</t>
  </si>
  <si>
    <t xml:space="preserve">72,9435</t>
  </si>
  <si>
    <t xml:space="preserve">Задыхин Максим</t>
  </si>
  <si>
    <t xml:space="preserve">63,0948</t>
  </si>
  <si>
    <t xml:space="preserve">Григорьянц Роман</t>
  </si>
  <si>
    <t xml:space="preserve">104,6010</t>
  </si>
  <si>
    <t xml:space="preserve">Спиркин Евгений</t>
  </si>
  <si>
    <t xml:space="preserve">98,7088</t>
  </si>
  <si>
    <t xml:space="preserve">98,6760</t>
  </si>
  <si>
    <t xml:space="preserve">98,0100</t>
  </si>
  <si>
    <t xml:space="preserve">Рощин Александр</t>
  </si>
  <si>
    <t xml:space="preserve">95,2500</t>
  </si>
  <si>
    <t xml:space="preserve">Щербинин Михаил</t>
  </si>
  <si>
    <t xml:space="preserve">94,0696</t>
  </si>
  <si>
    <t xml:space="preserve">Некрасов Сергей</t>
  </si>
  <si>
    <t xml:space="preserve">91,7345</t>
  </si>
  <si>
    <t xml:space="preserve">Камшилин Дмитрий</t>
  </si>
  <si>
    <t xml:space="preserve">90,9129</t>
  </si>
  <si>
    <t xml:space="preserve">89,0519</t>
  </si>
  <si>
    <t xml:space="preserve">Сухов Евгений</t>
  </si>
  <si>
    <t xml:space="preserve">88,7925</t>
  </si>
  <si>
    <t xml:space="preserve">Буров Евгений</t>
  </si>
  <si>
    <t xml:space="preserve">88,0725</t>
  </si>
  <si>
    <t xml:space="preserve">Никонов Денис</t>
  </si>
  <si>
    <t xml:space="preserve">86,5830</t>
  </si>
  <si>
    <t xml:space="preserve">Крылов Михаил</t>
  </si>
  <si>
    <t xml:space="preserve">82,3029</t>
  </si>
  <si>
    <t xml:space="preserve">Бельцев Иван</t>
  </si>
  <si>
    <t xml:space="preserve">82,1325</t>
  </si>
  <si>
    <t xml:space="preserve">Смирнов Вадим</t>
  </si>
  <si>
    <t xml:space="preserve">81,3041</t>
  </si>
  <si>
    <t xml:space="preserve">Леонтьев Владимир</t>
  </si>
  <si>
    <t xml:space="preserve">80,8795</t>
  </si>
  <si>
    <t xml:space="preserve">Козлов Владислав</t>
  </si>
  <si>
    <t xml:space="preserve">79,7650</t>
  </si>
  <si>
    <t xml:space="preserve">75,8425</t>
  </si>
  <si>
    <t xml:space="preserve">Колесников Василий</t>
  </si>
  <si>
    <t xml:space="preserve">74,6850</t>
  </si>
  <si>
    <t xml:space="preserve">Шишков Иван</t>
  </si>
  <si>
    <t xml:space="preserve">72,1765</t>
  </si>
  <si>
    <t xml:space="preserve">Бочаров Евгений</t>
  </si>
  <si>
    <t xml:space="preserve">57,8550</t>
  </si>
  <si>
    <t xml:space="preserve">Чубаров Владимир</t>
  </si>
  <si>
    <t xml:space="preserve">120,2320</t>
  </si>
  <si>
    <t xml:space="preserve">112,3748</t>
  </si>
  <si>
    <t xml:space="preserve">Бычков Игорь</t>
  </si>
  <si>
    <t xml:space="preserve">107,2975</t>
  </si>
  <si>
    <t xml:space="preserve">Яковенко Владимир</t>
  </si>
  <si>
    <t xml:space="preserve">Ветераны 60 - 64 </t>
  </si>
  <si>
    <t xml:space="preserve">103,8597</t>
  </si>
  <si>
    <t xml:space="preserve">103,7439</t>
  </si>
  <si>
    <t xml:space="preserve">Орехов Валентин</t>
  </si>
  <si>
    <t xml:space="preserve">97,0702</t>
  </si>
  <si>
    <t xml:space="preserve">Андреев Дмитрий</t>
  </si>
  <si>
    <t xml:space="preserve">94,2150</t>
  </si>
  <si>
    <t xml:space="preserve">Ткаченко Виталий</t>
  </si>
  <si>
    <t xml:space="preserve">93,6023</t>
  </si>
  <si>
    <t xml:space="preserve">Аушев Александр</t>
  </si>
  <si>
    <t xml:space="preserve">87,6487</t>
  </si>
  <si>
    <t xml:space="preserve">Яскин Роман</t>
  </si>
  <si>
    <t xml:space="preserve">82,0572</t>
  </si>
  <si>
    <t xml:space="preserve">Открытый Кубок Москвы WPC/AWPC/WAA-2021
AWPC классичесический пауэрлифтинг
Москва/Москва 13 - 14 февраля 2021 г.</t>
  </si>
  <si>
    <t xml:space="preserve">Приседание</t>
  </si>
  <si>
    <t xml:space="preserve">Сумма</t>
  </si>
  <si>
    <t xml:space="preserve">1. Бобрышев Кирилл</t>
  </si>
  <si>
    <t xml:space="preserve">Открытая (06.05.1995)/25</t>
  </si>
  <si>
    <t xml:space="preserve">70,90</t>
  </si>
  <si>
    <t xml:space="preserve">215,0</t>
  </si>
  <si>
    <t xml:space="preserve">1. Нижельский Виктор</t>
  </si>
  <si>
    <t xml:space="preserve">Юниоры 20 - 23 (28.04.1999)/21</t>
  </si>
  <si>
    <t xml:space="preserve">Звенигород/Московская область </t>
  </si>
  <si>
    <t xml:space="preserve">1. Малолетнев Владимир</t>
  </si>
  <si>
    <t xml:space="preserve">Открытая (13.09.1982)/38</t>
  </si>
  <si>
    <t xml:space="preserve">81,20</t>
  </si>
  <si>
    <t xml:space="preserve">1. Каторов Сергей</t>
  </si>
  <si>
    <t xml:space="preserve">Ветераны 40 - 44 (29.03.1980)/40</t>
  </si>
  <si>
    <t xml:space="preserve">86,10</t>
  </si>
  <si>
    <t xml:space="preserve">ВЕСОВАЯ КАТЕГОРИЯ   140+</t>
  </si>
  <si>
    <t xml:space="preserve">1. Попов Артем</t>
  </si>
  <si>
    <t xml:space="preserve">Открытая (24.07.1988)/32</t>
  </si>
  <si>
    <t xml:space="preserve">145,00</t>
  </si>
  <si>
    <t xml:space="preserve">Сумма </t>
  </si>
  <si>
    <t xml:space="preserve">Нижельский Виктор</t>
  </si>
  <si>
    <t xml:space="preserve">420,0</t>
  </si>
  <si>
    <t xml:space="preserve">277,7040</t>
  </si>
  <si>
    <t xml:space="preserve">Бобрышев Кирилл</t>
  </si>
  <si>
    <t xml:space="preserve">535,0</t>
  </si>
  <si>
    <t xml:space="preserve">384,5848</t>
  </si>
  <si>
    <t xml:space="preserve">Попов Артем</t>
  </si>
  <si>
    <t xml:space="preserve">140+</t>
  </si>
  <si>
    <t xml:space="preserve">615,0</t>
  </si>
  <si>
    <t xml:space="preserve">324,1204</t>
  </si>
  <si>
    <t xml:space="preserve">Малолетнев Владимир</t>
  </si>
  <si>
    <t xml:space="preserve">380,0</t>
  </si>
  <si>
    <t xml:space="preserve">247,4940</t>
  </si>
  <si>
    <t xml:space="preserve">Каторов Сергей</t>
  </si>
  <si>
    <t xml:space="preserve">395,0</t>
  </si>
  <si>
    <t xml:space="preserve">247,9415</t>
  </si>
  <si>
    <t xml:space="preserve">Открытый Кубок Москвы WPC/AWPC/WAA-2021
AWPC пауэрлифтинг без экипировки
Москва/Москва 13 - 14 февраля 2021 г.</t>
  </si>
  <si>
    <t xml:space="preserve">1. Иванюк Элеонора</t>
  </si>
  <si>
    <t xml:space="preserve">Ветераны 50 - 54 (08.10.1970)/50</t>
  </si>
  <si>
    <t xml:space="preserve">1. Михайлова Надежда</t>
  </si>
  <si>
    <t xml:space="preserve">Ветераны 40 - 44 (16.01.1981)/40</t>
  </si>
  <si>
    <t xml:space="preserve">35,0</t>
  </si>
  <si>
    <t xml:space="preserve">1. Татарская Альбина</t>
  </si>
  <si>
    <t xml:space="preserve">Открытая (11.02.1992)/29</t>
  </si>
  <si>
    <t xml:space="preserve">66,00</t>
  </si>
  <si>
    <t xml:space="preserve">-. Язин </t>
  </si>
  <si>
    <t xml:space="preserve">Юноши 13 - 15 (03.08.2005)/15</t>
  </si>
  <si>
    <t xml:space="preserve">66,70</t>
  </si>
  <si>
    <t xml:space="preserve">1. Падалка Игорь</t>
  </si>
  <si>
    <t xml:space="preserve">Юниоры 20 - 23 (01.09.2000)/20</t>
  </si>
  <si>
    <t xml:space="preserve">66,50</t>
  </si>
  <si>
    <t xml:space="preserve">Ставрополь/Ставропольский край </t>
  </si>
  <si>
    <t xml:space="preserve">1. Павлов Сергей</t>
  </si>
  <si>
    <t xml:space="preserve">Открытая (27.02.1991)/29</t>
  </si>
  <si>
    <t xml:space="preserve">1. Томчак Андрей</t>
  </si>
  <si>
    <t xml:space="preserve">Юноши 16 - 17 (01.03.2003)/17</t>
  </si>
  <si>
    <t xml:space="preserve">1. Родиков Евгений</t>
  </si>
  <si>
    <t xml:space="preserve">Юноши 16 - 17 (19.02.2004)/16</t>
  </si>
  <si>
    <t xml:space="preserve">82,00</t>
  </si>
  <si>
    <t xml:space="preserve">1. Топоров Кирилл</t>
  </si>
  <si>
    <t xml:space="preserve">Юниоры 20 - 23 (27.07.1999)/21</t>
  </si>
  <si>
    <t xml:space="preserve">89,20</t>
  </si>
  <si>
    <t xml:space="preserve">1. Змунчиле Михаил</t>
  </si>
  <si>
    <t xml:space="preserve">Открытая (25.05.1983)/37</t>
  </si>
  <si>
    <t xml:space="preserve">197,5</t>
  </si>
  <si>
    <t xml:space="preserve">247,5</t>
  </si>
  <si>
    <t xml:space="preserve">1. Данилин Александр</t>
  </si>
  <si>
    <t xml:space="preserve">Ветераны 60 - 64 (01.01.1958)/63</t>
  </si>
  <si>
    <t xml:space="preserve">88,90</t>
  </si>
  <si>
    <t xml:space="preserve">1. Завьялов Дмитрий</t>
  </si>
  <si>
    <t xml:space="preserve">Открытая (21.10.1981)/39</t>
  </si>
  <si>
    <t xml:space="preserve">98,50</t>
  </si>
  <si>
    <t xml:space="preserve">1. Демчук Дмитрий</t>
  </si>
  <si>
    <t xml:space="preserve">Открытая (28.12.1993)/27</t>
  </si>
  <si>
    <t xml:space="preserve">120,10</t>
  </si>
  <si>
    <t xml:space="preserve">Татарская Альбина</t>
  </si>
  <si>
    <t xml:space="preserve">415,0</t>
  </si>
  <si>
    <t xml:space="preserve">379,9740</t>
  </si>
  <si>
    <t xml:space="preserve">Иванюк Элеонора</t>
  </si>
  <si>
    <t xml:space="preserve">291,8677</t>
  </si>
  <si>
    <t xml:space="preserve">Михайлова Надежда</t>
  </si>
  <si>
    <t xml:space="preserve">199,1960</t>
  </si>
  <si>
    <t xml:space="preserve">Томчак Андрей</t>
  </si>
  <si>
    <t xml:space="preserve">387,5</t>
  </si>
  <si>
    <t xml:space="preserve">275,2025</t>
  </si>
  <si>
    <t xml:space="preserve">Родиков Евгений</t>
  </si>
  <si>
    <t xml:space="preserve">345,0</t>
  </si>
  <si>
    <t xml:space="preserve">223,2667</t>
  </si>
  <si>
    <t xml:space="preserve">Топоров Кирилл</t>
  </si>
  <si>
    <t xml:space="preserve">560,0</t>
  </si>
  <si>
    <t xml:space="preserve">344,3440</t>
  </si>
  <si>
    <t xml:space="preserve">Падалка Игорь</t>
  </si>
  <si>
    <t xml:space="preserve">360,0</t>
  </si>
  <si>
    <t xml:space="preserve">272,8980</t>
  </si>
  <si>
    <t xml:space="preserve">Змунчиле Михаил</t>
  </si>
  <si>
    <t xml:space="preserve">570,0</t>
  </si>
  <si>
    <t xml:space="preserve">350,7210</t>
  </si>
  <si>
    <t xml:space="preserve">Завьялов Дмитрий</t>
  </si>
  <si>
    <t xml:space="preserve">500,0</t>
  </si>
  <si>
    <t xml:space="preserve">292,5250</t>
  </si>
  <si>
    <t xml:space="preserve">Павлов Сергей</t>
  </si>
  <si>
    <t xml:space="preserve">347,5</t>
  </si>
  <si>
    <t xml:space="preserve">264,1000</t>
  </si>
  <si>
    <t xml:space="preserve">Демчук Дмитрий</t>
  </si>
  <si>
    <t xml:space="preserve">477,5</t>
  </si>
  <si>
    <t xml:space="preserve">263,0309</t>
  </si>
  <si>
    <t xml:space="preserve">Данилин Александр</t>
  </si>
  <si>
    <t xml:space="preserve">302,0154</t>
  </si>
  <si>
    <t xml:space="preserve">Открытый Кубок Москвы WPC/AWPC/WAA-2021
WPC жим лежа в стандартной софт экипировке
Москва/Москва 13 - 14 февраля 2021 г.</t>
  </si>
  <si>
    <t xml:space="preserve">1. Тографулина Татьяна</t>
  </si>
  <si>
    <t xml:space="preserve">Девушки 18 - 19 (14.08.2001)/19</t>
  </si>
  <si>
    <t xml:space="preserve">67,50</t>
  </si>
  <si>
    <t xml:space="preserve">Клин/Московская область </t>
  </si>
  <si>
    <t xml:space="preserve">1. Раков Иван</t>
  </si>
  <si>
    <t xml:space="preserve">Открытая (31.05.1992)/28</t>
  </si>
  <si>
    <t xml:space="preserve">96,20</t>
  </si>
  <si>
    <t xml:space="preserve">275,0</t>
  </si>
  <si>
    <t xml:space="preserve">300,0</t>
  </si>
  <si>
    <t xml:space="preserve">Тографулина Татьяна</t>
  </si>
  <si>
    <t xml:space="preserve">116,9935</t>
  </si>
  <si>
    <t xml:space="preserve">Раков Иван</t>
  </si>
  <si>
    <t xml:space="preserve">177,4200</t>
  </si>
  <si>
    <t xml:space="preserve">Открытый Кубок Москвы WPC/AWPC/WAA-2021
WPC жим лежа в однослойной экипировке
Москва/Москва 13 - 14 февраля 2021 г.</t>
  </si>
  <si>
    <t xml:space="preserve">1. Шайситдиков Назар</t>
  </si>
  <si>
    <t xml:space="preserve">Юноши 13 - 15 (17.06.2005)/15</t>
  </si>
  <si>
    <t xml:space="preserve">59,00</t>
  </si>
  <si>
    <t xml:space="preserve">92,5</t>
  </si>
  <si>
    <t xml:space="preserve">Суфиянов А.Р. </t>
  </si>
  <si>
    <t xml:space="preserve">Шайситдиков Назар</t>
  </si>
  <si>
    <t xml:space="preserve">74,0819</t>
  </si>
  <si>
    <t xml:space="preserve">Открытый Кубок Москвы WPC/AWPC/WAA-2021
WPC жим лежа без экипировки
Москва/Москва 13 - 14 февраля 2021 г.</t>
  </si>
  <si>
    <t xml:space="preserve">1. Лялякичева Татьяна</t>
  </si>
  <si>
    <t xml:space="preserve">Открытая (21.03.1978)/42</t>
  </si>
  <si>
    <t xml:space="preserve">Серпухов/Московская область </t>
  </si>
  <si>
    <t xml:space="preserve">1. Мухортова Нина</t>
  </si>
  <si>
    <t xml:space="preserve">Ветераны 50 - 54 (16.09.1966)/54</t>
  </si>
  <si>
    <t xml:space="preserve">64,10</t>
  </si>
  <si>
    <t xml:space="preserve">1. Жильцова Кира</t>
  </si>
  <si>
    <t xml:space="preserve">Ветераны 75 - 79 (24.04.1944)/76</t>
  </si>
  <si>
    <t xml:space="preserve">65,50</t>
  </si>
  <si>
    <t xml:space="preserve">Домодедово </t>
  </si>
  <si>
    <t xml:space="preserve">Домодедово/Московская область </t>
  </si>
  <si>
    <t xml:space="preserve">Петров Александр </t>
  </si>
  <si>
    <t xml:space="preserve">1. Павлюченко Данил</t>
  </si>
  <si>
    <t xml:space="preserve">Юноши 18 - 19 (19.07.2001)/19</t>
  </si>
  <si>
    <t xml:space="preserve">78,80</t>
  </si>
  <si>
    <t xml:space="preserve">1. Бурцев Дмитрий</t>
  </si>
  <si>
    <t xml:space="preserve">Ветераны 40 - 44 (21.02.1977)/43</t>
  </si>
  <si>
    <t xml:space="preserve">77,10</t>
  </si>
  <si>
    <t xml:space="preserve">1. Ветров Владимир</t>
  </si>
  <si>
    <t xml:space="preserve">Ветераны 55 - 59 (02.09.1964)/56</t>
  </si>
  <si>
    <t xml:space="preserve">85,50</t>
  </si>
  <si>
    <t xml:space="preserve">1. Костоломов Дмитрий</t>
  </si>
  <si>
    <t xml:space="preserve">Открытая (12.12.1991)/29</t>
  </si>
  <si>
    <t xml:space="preserve">95,00</t>
  </si>
  <si>
    <t xml:space="preserve">1. Молотиевский Анатолий</t>
  </si>
  <si>
    <t xml:space="preserve">Ветераны 45 - 49 (10.05.1975)/45</t>
  </si>
  <si>
    <t xml:space="preserve">90,40</t>
  </si>
  <si>
    <t xml:space="preserve">1. Дон Вадим</t>
  </si>
  <si>
    <t xml:space="preserve">Ветераны 55 - 59 (17.06.1962)/58</t>
  </si>
  <si>
    <t xml:space="preserve">90,90</t>
  </si>
  <si>
    <t xml:space="preserve">1. Петров Александр</t>
  </si>
  <si>
    <t xml:space="preserve">Ветераны 60 - 64 (17.07.1960)/60</t>
  </si>
  <si>
    <t xml:space="preserve">93,60</t>
  </si>
  <si>
    <t xml:space="preserve">1. Сизов Владимир</t>
  </si>
  <si>
    <t xml:space="preserve">Ветераны 55 - 59 (18.10.1963)/57</t>
  </si>
  <si>
    <t xml:space="preserve">107,30</t>
  </si>
  <si>
    <t xml:space="preserve">1. Лазарев Денис</t>
  </si>
  <si>
    <t xml:space="preserve">Юноши 16 - 17 (02.09.2003)/17</t>
  </si>
  <si>
    <t xml:space="preserve">116,40</t>
  </si>
  <si>
    <t xml:space="preserve">1. Геворкян Антон</t>
  </si>
  <si>
    <t xml:space="preserve">Открытая (12.06.1992)/28</t>
  </si>
  <si>
    <t xml:space="preserve">118,00</t>
  </si>
  <si>
    <t xml:space="preserve">195,0</t>
  </si>
  <si>
    <t xml:space="preserve">1. Жильцов Игорь</t>
  </si>
  <si>
    <t xml:space="preserve">Ветераны 50 - 54 (14.08.1970)/50</t>
  </si>
  <si>
    <t xml:space="preserve">127,90</t>
  </si>
  <si>
    <t xml:space="preserve">79,6150</t>
  </si>
  <si>
    <t xml:space="preserve">Лялякичева Татьяна</t>
  </si>
  <si>
    <t xml:space="preserve">83,2454</t>
  </si>
  <si>
    <t xml:space="preserve">Мухортова Нина</t>
  </si>
  <si>
    <t xml:space="preserve">90,2855</t>
  </si>
  <si>
    <t xml:space="preserve">Жильцова Кира</t>
  </si>
  <si>
    <t xml:space="preserve">Ветераны 75 - 79 </t>
  </si>
  <si>
    <t xml:space="preserve">69,1193</t>
  </si>
  <si>
    <t xml:space="preserve">Лазарев Денис</t>
  </si>
  <si>
    <t xml:space="preserve">69,3375</t>
  </si>
  <si>
    <t xml:space="preserve">Павлюченко Данил</t>
  </si>
  <si>
    <t xml:space="preserve">66,4600</t>
  </si>
  <si>
    <t xml:space="preserve">Геворкян Антон</t>
  </si>
  <si>
    <t xml:space="preserve">107,8350</t>
  </si>
  <si>
    <t xml:space="preserve">Костоломов Дмитрий</t>
  </si>
  <si>
    <t xml:space="preserve">86,2605</t>
  </si>
  <si>
    <t xml:space="preserve">Петров Александр</t>
  </si>
  <si>
    <t xml:space="preserve">152,5818</t>
  </si>
  <si>
    <t xml:space="preserve">Ветров Владимир</t>
  </si>
  <si>
    <t xml:space="preserve">107,9947</t>
  </si>
  <si>
    <t xml:space="preserve">Бурцев Дмитрий</t>
  </si>
  <si>
    <t xml:space="preserve">90,4568</t>
  </si>
  <si>
    <t xml:space="preserve">Жильцов Игорь</t>
  </si>
  <si>
    <t xml:space="preserve">85,8124</t>
  </si>
  <si>
    <t xml:space="preserve">Молотиевский Анатолий</t>
  </si>
  <si>
    <t xml:space="preserve">80,4965</t>
  </si>
  <si>
    <t xml:space="preserve">Сизов Владимир</t>
  </si>
  <si>
    <t xml:space="preserve">71,8512</t>
  </si>
  <si>
    <t xml:space="preserve">Дон Вадим</t>
  </si>
  <si>
    <t xml:space="preserve">62,8510</t>
  </si>
  <si>
    <t xml:space="preserve">Открытый Кубок Москвы WPC/AWPC/WAA-2021
WPC пауэрлифтинг в однослойной экипировке
Москва/Москва 13 - 14 февраля 2021 г.</t>
  </si>
  <si>
    <t xml:space="preserve">255,0</t>
  </si>
  <si>
    <t xml:space="preserve">272,5</t>
  </si>
  <si>
    <t xml:space="preserve">157,5</t>
  </si>
  <si>
    <t xml:space="preserve">677,5</t>
  </si>
  <si>
    <t xml:space="preserve">401,2494</t>
  </si>
  <si>
    <t xml:space="preserve">Открытый Кубок Москвы WPC/AWPC/WAA-2021
WPC классичесический пауэрлифтинг
Москва/Москва 13 - 14 февраля 2021 г.</t>
  </si>
  <si>
    <t xml:space="preserve">1. Ефремочкин Николай</t>
  </si>
  <si>
    <t xml:space="preserve">Открытая (08.09.1994)/26</t>
  </si>
  <si>
    <t xml:space="preserve">89,90</t>
  </si>
  <si>
    <t xml:space="preserve">1. Мартин Янек</t>
  </si>
  <si>
    <t xml:space="preserve">Открытая (14.04.1986)/34</t>
  </si>
  <si>
    <t xml:space="preserve">102,20</t>
  </si>
  <si>
    <t xml:space="preserve">260,0</t>
  </si>
  <si>
    <t xml:space="preserve">270,0</t>
  </si>
  <si>
    <t xml:space="preserve">290,0</t>
  </si>
  <si>
    <t xml:space="preserve">Мартин Янек</t>
  </si>
  <si>
    <t xml:space="preserve">730,0</t>
  </si>
  <si>
    <t xml:space="preserve">420,6990</t>
  </si>
  <si>
    <t xml:space="preserve">Ефремочкин Николай</t>
  </si>
  <si>
    <t xml:space="preserve">620,0</t>
  </si>
  <si>
    <t xml:space="preserve">379,5950</t>
  </si>
  <si>
    <t xml:space="preserve">Открытый Кубок Москвы WPC/AWPC/WAA-2021
WPC пауэрлифтинг без экипировки
Москва/Москва 13 - 14 февраля 2021 г.</t>
  </si>
  <si>
    <t xml:space="preserve">Открытая (27.09.2004)/16</t>
  </si>
  <si>
    <t xml:space="preserve">1. Тишков Александр</t>
  </si>
  <si>
    <t xml:space="preserve">Юниоры 20 - 23 (01.02.1998)/23</t>
  </si>
  <si>
    <t xml:space="preserve">76,80</t>
  </si>
  <si>
    <t xml:space="preserve">1. Масалов Иван</t>
  </si>
  <si>
    <t xml:space="preserve">Открытая (08.03.1991)/29</t>
  </si>
  <si>
    <t xml:space="preserve">77,50</t>
  </si>
  <si>
    <t xml:space="preserve">455,0</t>
  </si>
  <si>
    <t xml:space="preserve">362,2483</t>
  </si>
  <si>
    <t xml:space="preserve">Тишков Александр</t>
  </si>
  <si>
    <t xml:space="preserve">502,5</t>
  </si>
  <si>
    <t xml:space="preserve">340,0669</t>
  </si>
  <si>
    <t xml:space="preserve">Масалов Иван</t>
  </si>
  <si>
    <t xml:space="preserve">410,0</t>
  </si>
  <si>
    <t xml:space="preserve">275,6840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</si>
</sst>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7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name val="Arial Cyr"/>
      <family val="0"/>
      <charset val="204"/>
    </font>
    <font>
      <sz val="24"/>
      <name val="Arial Cyr"/>
      <family val="2"/>
      <charset val="204"/>
    </font>
    <font>
      <b val="true"/>
      <sz val="11"/>
      <name val="Arial Cyr"/>
      <family val="0"/>
      <charset val="204"/>
    </font>
    <font>
      <sz val="11"/>
      <name val="Arial Cyr"/>
      <family val="0"/>
      <charset val="204"/>
    </font>
    <font>
      <i val="true"/>
      <sz val="12"/>
      <name val="Arial Cyr"/>
      <family val="0"/>
      <charset val="204"/>
    </font>
    <font>
      <strike val="true"/>
      <sz val="10"/>
      <name val="Arial Cyr"/>
      <family val="0"/>
      <charset val="204"/>
    </font>
    <font>
      <sz val="12"/>
      <name val="Arial Cyr"/>
      <family val="0"/>
      <charset val="204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b val="true"/>
      <i val="true"/>
      <sz val="12"/>
      <name val="Arial Cyr"/>
      <family val="0"/>
      <charset val="204"/>
    </font>
    <font>
      <b val="true"/>
      <i val="true"/>
      <sz val="11"/>
      <name val="Arial Cyr"/>
      <family val="0"/>
      <charset val="204"/>
    </font>
    <font>
      <i val="true"/>
      <sz val="11"/>
      <name val="Arial Cyr"/>
      <family val="0"/>
      <charset val="204"/>
    </font>
    <font>
      <b val="true"/>
      <sz val="24"/>
      <name val="Arial Cyr"/>
      <family val="0"/>
      <charset val="204"/>
    </font>
  </fonts>
  <fills count="2">
    <fill>
      <patternFill patternType="none"/>
    </fill>
    <fill>
      <patternFill patternType="gray125"/>
    </fill>
  </fills>
  <borders count="15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9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4" fillId="0" borderId="0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5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5" fontId="9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6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5" fillId="0" borderId="0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5" fontId="1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5" fontId="9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4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109375" defaultRowHeight="13.2" zeroHeight="false" outlineLevelRow="0" outlineLevelCol="0"/>
  <cols>
    <col collapsed="false" customWidth="true" hidden="false" outlineLevel="0" max="1" min="1" style="1" width="26.66"/>
    <col collapsed="false" customWidth="true" hidden="false" outlineLevel="0" max="2" min="2" style="2" width="25.21"/>
    <col collapsed="false" customWidth="true" hidden="false" outlineLevel="0" max="3" min="3" style="2" width="10.11"/>
    <col collapsed="false" customWidth="true" hidden="false" outlineLevel="0" max="4" min="4" style="2" width="11.89"/>
    <col collapsed="false" customWidth="true" hidden="false" outlineLevel="0" max="5" min="5" style="3" width="21.78"/>
    <col collapsed="false" customWidth="true" hidden="false" outlineLevel="0" max="6" min="6" style="3" width="30.89"/>
    <col collapsed="false" customWidth="true" hidden="false" outlineLevel="0" max="9" min="7" style="2" width="4.56"/>
    <col collapsed="false" customWidth="true" hidden="false" outlineLevel="0" max="10" min="10" style="2" width="5.55"/>
    <col collapsed="false" customWidth="true" hidden="false" outlineLevel="0" max="11" min="11" style="2" width="7"/>
    <col collapsed="false" customWidth="true" hidden="false" outlineLevel="0" max="12" min="12" style="2" width="10"/>
    <col collapsed="false" customWidth="true" hidden="false" outlineLevel="0" max="13" min="13" style="2" width="1.56"/>
    <col collapsed="false" customWidth="false" hidden="false" outlineLevel="0" max="1024" min="14" style="2" width="9.11"/>
  </cols>
  <sheetData>
    <row r="1" customFormat="false" ht="28.95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customFormat="false" ht="61.95" hidden="false" customHeight="true" outlineLevel="0" collapsed="false">
      <c r="A2" s="4"/>
      <c r="B2" s="4"/>
      <c r="C2" s="4"/>
      <c r="D2" s="4"/>
      <c r="E2" s="4"/>
      <c r="F2" s="4"/>
      <c r="G2" s="4"/>
      <c r="H2" s="4"/>
      <c r="I2" s="4"/>
      <c r="J2" s="4"/>
    </row>
    <row r="3" s="9" customFormat="true" ht="12.75" hidden="false" customHeight="true" outlineLevel="0" collapsed="false">
      <c r="A3" s="5" t="s">
        <v>1</v>
      </c>
      <c r="B3" s="6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8"/>
      <c r="I3" s="8"/>
      <c r="J3" s="8"/>
      <c r="K3" s="9" t="s">
        <v>8</v>
      </c>
    </row>
    <row r="4" s="9" customFormat="true" ht="21" hidden="false" customHeight="true" outlineLevel="0" collapsed="false">
      <c r="A4" s="5"/>
      <c r="B4" s="6"/>
      <c r="C4" s="6"/>
      <c r="D4" s="6"/>
      <c r="E4" s="6"/>
      <c r="F4" s="6"/>
      <c r="G4" s="10" t="n">
        <v>1</v>
      </c>
      <c r="H4" s="10" t="n">
        <v>2</v>
      </c>
      <c r="I4" s="10" t="n">
        <v>3</v>
      </c>
      <c r="J4" s="10" t="s">
        <v>9</v>
      </c>
    </row>
    <row r="5" customFormat="false" ht="15.6" hidden="false" customHeight="false" outlineLevel="0" collapsed="false">
      <c r="A5" s="11" t="s">
        <v>10</v>
      </c>
      <c r="B5" s="11"/>
      <c r="C5" s="11"/>
      <c r="D5" s="11"/>
      <c r="E5" s="11"/>
      <c r="F5" s="11"/>
      <c r="G5" s="11"/>
      <c r="H5" s="11"/>
      <c r="I5" s="11"/>
      <c r="J5" s="11"/>
    </row>
    <row r="6" customFormat="false" ht="13.2" hidden="false" customHeight="false" outlineLevel="0" collapsed="false">
      <c r="A6" s="12" t="s">
        <v>11</v>
      </c>
      <c r="B6" s="13" t="s">
        <v>12</v>
      </c>
      <c r="C6" s="13" t="s">
        <v>13</v>
      </c>
      <c r="D6" s="13" t="str">
        <f aca="false">"0,9028"</f>
        <v>0,9028</v>
      </c>
      <c r="E6" s="14" t="s">
        <v>14</v>
      </c>
      <c r="F6" s="14" t="s">
        <v>15</v>
      </c>
      <c r="G6" s="13" t="s">
        <v>16</v>
      </c>
      <c r="H6" s="13" t="s">
        <v>17</v>
      </c>
      <c r="I6" s="13" t="s">
        <v>18</v>
      </c>
      <c r="J6" s="13" t="s">
        <v>19</v>
      </c>
      <c r="K6" s="13" t="s">
        <v>20</v>
      </c>
      <c r="L6" s="13" t="s">
        <v>21</v>
      </c>
      <c r="M6" s="13" t="s">
        <v>22</v>
      </c>
    </row>
    <row r="8" customFormat="false" ht="15.6" hidden="false" customHeight="false" outlineLevel="0" collapsed="false">
      <c r="A8" s="15" t="s">
        <v>23</v>
      </c>
      <c r="B8" s="15"/>
      <c r="C8" s="15"/>
      <c r="D8" s="15"/>
      <c r="E8" s="15"/>
      <c r="F8" s="15"/>
      <c r="G8" s="15"/>
      <c r="H8" s="15"/>
      <c r="I8" s="15"/>
      <c r="J8" s="15"/>
    </row>
    <row r="9" customFormat="false" ht="13.2" hidden="false" customHeight="false" outlineLevel="0" collapsed="false">
      <c r="A9" s="16" t="s">
        <v>24</v>
      </c>
      <c r="B9" s="17" t="s">
        <v>25</v>
      </c>
      <c r="C9" s="17" t="s">
        <v>26</v>
      </c>
      <c r="D9" s="17" t="str">
        <f aca="false">"0,6664"</f>
        <v>0,6664</v>
      </c>
      <c r="E9" s="18" t="s">
        <v>14</v>
      </c>
      <c r="F9" s="18" t="s">
        <v>27</v>
      </c>
      <c r="G9" s="17" t="s">
        <v>28</v>
      </c>
      <c r="H9" s="17" t="s">
        <v>29</v>
      </c>
      <c r="I9" s="17" t="s">
        <v>30</v>
      </c>
      <c r="J9" s="17" t="s">
        <v>31</v>
      </c>
      <c r="K9" s="17" t="s">
        <v>32</v>
      </c>
      <c r="L9" s="17" t="s">
        <v>33</v>
      </c>
      <c r="M9" s="17" t="s">
        <v>22</v>
      </c>
    </row>
    <row r="10" customFormat="false" ht="13.2" hidden="false" customHeight="false" outlineLevel="0" collapsed="false">
      <c r="A10" s="19" t="s">
        <v>24</v>
      </c>
      <c r="B10" s="20" t="s">
        <v>34</v>
      </c>
      <c r="C10" s="20" t="s">
        <v>26</v>
      </c>
      <c r="D10" s="20" t="str">
        <f aca="false">"0,6664"</f>
        <v>0,6664</v>
      </c>
      <c r="E10" s="21" t="s">
        <v>14</v>
      </c>
      <c r="F10" s="21" t="s">
        <v>27</v>
      </c>
      <c r="G10" s="20" t="s">
        <v>28</v>
      </c>
      <c r="H10" s="20" t="s">
        <v>29</v>
      </c>
      <c r="I10" s="20" t="s">
        <v>30</v>
      </c>
      <c r="J10" s="20" t="s">
        <v>31</v>
      </c>
      <c r="K10" s="20" t="s">
        <v>32</v>
      </c>
      <c r="L10" s="20" t="s">
        <v>33</v>
      </c>
      <c r="M10" s="20" t="s">
        <v>22</v>
      </c>
    </row>
    <row r="12" customFormat="false" ht="15.6" hidden="false" customHeight="false" outlineLevel="0" collapsed="false">
      <c r="A12" s="15" t="s">
        <v>35</v>
      </c>
      <c r="B12" s="15"/>
      <c r="C12" s="15"/>
      <c r="D12" s="15"/>
      <c r="E12" s="15"/>
      <c r="F12" s="15"/>
      <c r="G12" s="15"/>
      <c r="H12" s="15"/>
      <c r="I12" s="15"/>
      <c r="J12" s="15"/>
    </row>
    <row r="13" customFormat="false" ht="13.2" hidden="false" customHeight="false" outlineLevel="0" collapsed="false">
      <c r="A13" s="12" t="s">
        <v>36</v>
      </c>
      <c r="B13" s="13" t="s">
        <v>37</v>
      </c>
      <c r="C13" s="13" t="s">
        <v>38</v>
      </c>
      <c r="D13" s="13" t="str">
        <f aca="false">"0,6201"</f>
        <v>0,6201</v>
      </c>
      <c r="E13" s="14" t="s">
        <v>14</v>
      </c>
      <c r="F13" s="14" t="s">
        <v>39</v>
      </c>
      <c r="G13" s="13" t="s">
        <v>30</v>
      </c>
      <c r="H13" s="13" t="s">
        <v>31</v>
      </c>
      <c r="I13" s="13" t="s">
        <v>40</v>
      </c>
      <c r="J13" s="22" t="s">
        <v>41</v>
      </c>
      <c r="K13" s="13" t="s">
        <v>42</v>
      </c>
      <c r="L13" s="13" t="s">
        <v>43</v>
      </c>
      <c r="M13" s="13" t="s">
        <v>22</v>
      </c>
    </row>
    <row r="15" customFormat="false" ht="15.6" hidden="false" customHeight="false" outlineLevel="0" collapsed="false">
      <c r="A15" s="15" t="s">
        <v>44</v>
      </c>
      <c r="B15" s="15"/>
      <c r="C15" s="15"/>
      <c r="D15" s="15"/>
      <c r="E15" s="15"/>
      <c r="F15" s="15"/>
      <c r="G15" s="15"/>
      <c r="H15" s="15"/>
      <c r="I15" s="15"/>
      <c r="J15" s="15"/>
    </row>
    <row r="16" customFormat="false" ht="13.2" hidden="false" customHeight="false" outlineLevel="0" collapsed="false">
      <c r="A16" s="12" t="s">
        <v>45</v>
      </c>
      <c r="B16" s="13" t="s">
        <v>46</v>
      </c>
      <c r="C16" s="13" t="s">
        <v>47</v>
      </c>
      <c r="D16" s="13" t="str">
        <f aca="false">"0,6071"</f>
        <v>0,6071</v>
      </c>
      <c r="E16" s="14" t="s">
        <v>48</v>
      </c>
      <c r="F16" s="14" t="s">
        <v>39</v>
      </c>
      <c r="G16" s="13" t="s">
        <v>49</v>
      </c>
      <c r="H16" s="13" t="s">
        <v>40</v>
      </c>
      <c r="I16" s="13" t="s">
        <v>41</v>
      </c>
      <c r="J16" s="22" t="s">
        <v>50</v>
      </c>
      <c r="K16" s="13" t="s">
        <v>51</v>
      </c>
      <c r="L16" s="13" t="s">
        <v>52</v>
      </c>
      <c r="M16" s="13" t="s">
        <v>22</v>
      </c>
    </row>
    <row r="18" customFormat="false" ht="15" hidden="false" customHeight="false" outlineLevel="0" collapsed="false">
      <c r="E18" s="23" t="s">
        <v>53</v>
      </c>
    </row>
    <row r="19" customFormat="false" ht="15" hidden="false" customHeight="false" outlineLevel="0" collapsed="false">
      <c r="E19" s="23" t="s">
        <v>54</v>
      </c>
    </row>
    <row r="20" customFormat="false" ht="15" hidden="false" customHeight="false" outlineLevel="0" collapsed="false">
      <c r="E20" s="23" t="s">
        <v>55</v>
      </c>
    </row>
    <row r="21" customFormat="false" ht="15" hidden="false" customHeight="false" outlineLevel="0" collapsed="false">
      <c r="E21" s="23" t="s">
        <v>56</v>
      </c>
    </row>
    <row r="22" customFormat="false" ht="15" hidden="false" customHeight="false" outlineLevel="0" collapsed="false">
      <c r="E22" s="23" t="s">
        <v>56</v>
      </c>
    </row>
    <row r="23" customFormat="false" ht="15" hidden="false" customHeight="false" outlineLevel="0" collapsed="false">
      <c r="E23" s="23" t="s">
        <v>57</v>
      </c>
    </row>
    <row r="24" customFormat="false" ht="15" hidden="false" customHeight="false" outlineLevel="0" collapsed="false">
      <c r="E24" s="23"/>
    </row>
    <row r="26" customFormat="false" ht="17.4" hidden="false" customHeight="false" outlineLevel="0" collapsed="false">
      <c r="A26" s="24" t="s">
        <v>58</v>
      </c>
      <c r="B26" s="25"/>
    </row>
    <row r="27" customFormat="false" ht="15.6" hidden="false" customHeight="false" outlineLevel="0" collapsed="false">
      <c r="A27" s="26" t="s">
        <v>59</v>
      </c>
      <c r="B27" s="15"/>
    </row>
    <row r="28" customFormat="false" ht="14.4" hidden="false" customHeight="false" outlineLevel="0" collapsed="false">
      <c r="A28" s="27"/>
      <c r="B28" s="28" t="s">
        <v>60</v>
      </c>
    </row>
    <row r="29" customFormat="false" ht="13.8" hidden="false" customHeight="false" outlineLevel="0" collapsed="false">
      <c r="A29" s="29" t="s">
        <v>61</v>
      </c>
      <c r="B29" s="29" t="s">
        <v>62</v>
      </c>
      <c r="C29" s="29" t="s">
        <v>63</v>
      </c>
      <c r="D29" s="29" t="s">
        <v>64</v>
      </c>
      <c r="E29" s="29" t="s">
        <v>65</v>
      </c>
    </row>
    <row r="30" customFormat="false" ht="13.2" hidden="false" customHeight="false" outlineLevel="0" collapsed="false">
      <c r="A30" s="30" t="s">
        <v>66</v>
      </c>
      <c r="B30" s="2" t="s">
        <v>60</v>
      </c>
      <c r="C30" s="2" t="s">
        <v>67</v>
      </c>
      <c r="D30" s="2" t="s">
        <v>19</v>
      </c>
      <c r="E30" s="1" t="s">
        <v>68</v>
      </c>
    </row>
    <row r="33" customFormat="false" ht="15.6" hidden="false" customHeight="false" outlineLevel="0" collapsed="false">
      <c r="A33" s="26" t="s">
        <v>69</v>
      </c>
      <c r="B33" s="15"/>
    </row>
    <row r="34" customFormat="false" ht="14.4" hidden="false" customHeight="false" outlineLevel="0" collapsed="false">
      <c r="A34" s="27"/>
      <c r="B34" s="28" t="s">
        <v>70</v>
      </c>
    </row>
    <row r="35" customFormat="false" ht="13.8" hidden="false" customHeight="false" outlineLevel="0" collapsed="false">
      <c r="A35" s="29" t="s">
        <v>61</v>
      </c>
      <c r="B35" s="29" t="s">
        <v>62</v>
      </c>
      <c r="C35" s="29" t="s">
        <v>63</v>
      </c>
      <c r="D35" s="29" t="s">
        <v>64</v>
      </c>
      <c r="E35" s="29" t="s">
        <v>65</v>
      </c>
    </row>
    <row r="36" customFormat="false" ht="13.2" hidden="false" customHeight="false" outlineLevel="0" collapsed="false">
      <c r="A36" s="30" t="s">
        <v>71</v>
      </c>
      <c r="B36" s="2" t="s">
        <v>70</v>
      </c>
      <c r="C36" s="2" t="s">
        <v>72</v>
      </c>
      <c r="D36" s="2" t="s">
        <v>41</v>
      </c>
      <c r="E36" s="1" t="s">
        <v>73</v>
      </c>
    </row>
    <row r="37" customFormat="false" ht="13.2" hidden="false" customHeight="false" outlineLevel="0" collapsed="false">
      <c r="A37" s="30" t="s">
        <v>74</v>
      </c>
      <c r="B37" s="2" t="s">
        <v>70</v>
      </c>
      <c r="C37" s="2" t="s">
        <v>75</v>
      </c>
      <c r="D37" s="2" t="s">
        <v>31</v>
      </c>
      <c r="E37" s="1" t="s">
        <v>76</v>
      </c>
    </row>
    <row r="39" customFormat="false" ht="14.4" hidden="false" customHeight="false" outlineLevel="0" collapsed="false">
      <c r="A39" s="27"/>
      <c r="B39" s="28" t="s">
        <v>60</v>
      </c>
    </row>
    <row r="40" customFormat="false" ht="13.8" hidden="false" customHeight="false" outlineLevel="0" collapsed="false">
      <c r="A40" s="29" t="s">
        <v>61</v>
      </c>
      <c r="B40" s="29" t="s">
        <v>62</v>
      </c>
      <c r="C40" s="29" t="s">
        <v>63</v>
      </c>
      <c r="D40" s="29" t="s">
        <v>64</v>
      </c>
      <c r="E40" s="29" t="s">
        <v>65</v>
      </c>
    </row>
    <row r="41" customFormat="false" ht="13.2" hidden="false" customHeight="false" outlineLevel="0" collapsed="false">
      <c r="A41" s="30" t="s">
        <v>77</v>
      </c>
      <c r="B41" s="2" t="s">
        <v>60</v>
      </c>
      <c r="C41" s="2" t="s">
        <v>78</v>
      </c>
      <c r="D41" s="2" t="s">
        <v>40</v>
      </c>
      <c r="E41" s="1" t="s">
        <v>79</v>
      </c>
    </row>
    <row r="42" customFormat="false" ht="13.2" hidden="false" customHeight="false" outlineLevel="0" collapsed="false">
      <c r="A42" s="30" t="s">
        <v>74</v>
      </c>
      <c r="B42" s="2" t="s">
        <v>60</v>
      </c>
      <c r="C42" s="2" t="s">
        <v>75</v>
      </c>
      <c r="D42" s="2" t="s">
        <v>31</v>
      </c>
      <c r="E42" s="1" t="s">
        <v>76</v>
      </c>
    </row>
  </sheetData>
  <mergeCells count="12">
    <mergeCell ref="A1:J2"/>
    <mergeCell ref="A3:A4"/>
    <mergeCell ref="B3:B4"/>
    <mergeCell ref="C3:C4"/>
    <mergeCell ref="D3:D4"/>
    <mergeCell ref="E3:E4"/>
    <mergeCell ref="F3:F4"/>
    <mergeCell ref="G3:J3"/>
    <mergeCell ref="A5:J5"/>
    <mergeCell ref="A8:J8"/>
    <mergeCell ref="A12:J12"/>
    <mergeCell ref="A15:J1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109375" defaultRowHeight="13.2" zeroHeight="false" outlineLevelRow="0" outlineLevelCol="0"/>
  <cols>
    <col collapsed="false" customWidth="true" hidden="false" outlineLevel="0" max="1" min="1" style="33" width="24.67"/>
    <col collapsed="false" customWidth="true" hidden="false" outlineLevel="0" max="2" min="2" style="33" width="29.89"/>
    <col collapsed="false" customWidth="true" hidden="false" outlineLevel="0" max="3" min="3" style="33" width="14.88"/>
    <col collapsed="false" customWidth="true" hidden="false" outlineLevel="0" max="4" min="4" style="33" width="11.89"/>
    <col collapsed="false" customWidth="true" hidden="false" outlineLevel="0" max="5" min="5" style="33" width="21.78"/>
    <col collapsed="false" customWidth="true" hidden="false" outlineLevel="0" max="6" min="6" style="33" width="29.89"/>
    <col collapsed="false" customWidth="true" hidden="false" outlineLevel="0" max="9" min="7" style="34" width="5.55"/>
    <col collapsed="false" customWidth="true" hidden="false" outlineLevel="0" max="10" min="10" style="34" width="4.56"/>
    <col collapsed="false" customWidth="true" hidden="false" outlineLevel="0" max="11" min="11" style="1" width="7.67"/>
    <col collapsed="false" customWidth="true" hidden="false" outlineLevel="0" max="12" min="12" style="35" width="8.56"/>
    <col collapsed="false" customWidth="true" hidden="false" outlineLevel="0" max="13" min="13" style="33" width="8.33"/>
    <col collapsed="false" customWidth="false" hidden="false" outlineLevel="0" max="1024" min="14" style="34" width="9.11"/>
  </cols>
  <sheetData>
    <row r="1" s="35" customFormat="true" ht="28.95" hidden="false" customHeight="true" outlineLevel="0" collapsed="false">
      <c r="A1" s="36" t="s">
        <v>508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="35" customFormat="true" ht="61.95" hidden="false" customHeight="true" outlineLevel="0" collapsed="false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="9" customFormat="true" ht="12.75" hidden="false" customHeight="true" outlineLevel="0" collapsed="false">
      <c r="A3" s="37" t="s">
        <v>1</v>
      </c>
      <c r="B3" s="38" t="s">
        <v>2</v>
      </c>
      <c r="C3" s="38" t="s">
        <v>186</v>
      </c>
      <c r="D3" s="39" t="s">
        <v>4</v>
      </c>
      <c r="E3" s="39" t="s">
        <v>5</v>
      </c>
      <c r="F3" s="39" t="s">
        <v>6</v>
      </c>
      <c r="G3" s="40" t="s">
        <v>386</v>
      </c>
      <c r="H3" s="40"/>
      <c r="I3" s="40"/>
      <c r="J3" s="40"/>
      <c r="K3" s="39" t="s">
        <v>8</v>
      </c>
      <c r="L3" s="39" t="s">
        <v>189</v>
      </c>
      <c r="M3" s="41" t="s">
        <v>190</v>
      </c>
    </row>
    <row r="4" s="9" customFormat="true" ht="21" hidden="false" customHeight="true" outlineLevel="0" collapsed="false">
      <c r="A4" s="37"/>
      <c r="B4" s="38"/>
      <c r="C4" s="38"/>
      <c r="D4" s="38"/>
      <c r="E4" s="38"/>
      <c r="F4" s="38"/>
      <c r="G4" s="42" t="n">
        <v>1</v>
      </c>
      <c r="H4" s="42" t="n">
        <v>2</v>
      </c>
      <c r="I4" s="42" t="n">
        <v>3</v>
      </c>
      <c r="J4" s="42" t="s">
        <v>265</v>
      </c>
      <c r="K4" s="39"/>
      <c r="L4" s="39"/>
      <c r="M4" s="41"/>
    </row>
    <row r="5" customFormat="false" ht="15.6" hidden="false" customHeight="false" outlineLevel="0" collapsed="false">
      <c r="A5" s="11" t="s">
        <v>213</v>
      </c>
      <c r="B5" s="11"/>
      <c r="C5" s="11"/>
      <c r="D5" s="11"/>
      <c r="E5" s="11"/>
      <c r="F5" s="11"/>
      <c r="G5" s="11"/>
      <c r="H5" s="11"/>
      <c r="I5" s="11"/>
      <c r="J5" s="11"/>
    </row>
    <row r="6" customFormat="false" ht="13.2" hidden="false" customHeight="false" outlineLevel="0" collapsed="false">
      <c r="A6" s="14" t="s">
        <v>509</v>
      </c>
      <c r="B6" s="14" t="s">
        <v>510</v>
      </c>
      <c r="C6" s="14" t="s">
        <v>511</v>
      </c>
      <c r="D6" s="14" t="str">
        <f aca="false">"0,7962"</f>
        <v>0,7962</v>
      </c>
      <c r="E6" s="14" t="s">
        <v>14</v>
      </c>
      <c r="F6" s="14" t="s">
        <v>39</v>
      </c>
      <c r="G6" s="13" t="s">
        <v>421</v>
      </c>
      <c r="H6" s="13" t="s">
        <v>512</v>
      </c>
      <c r="I6" s="13" t="s">
        <v>426</v>
      </c>
      <c r="J6" s="22"/>
      <c r="K6" s="12" t="str">
        <f aca="false">"185,0"</f>
        <v>185,0</v>
      </c>
      <c r="L6" s="43" t="str">
        <f aca="false">"147,2878"</f>
        <v>147,2878</v>
      </c>
      <c r="M6" s="14" t="s">
        <v>22</v>
      </c>
    </row>
    <row r="8" customFormat="false" ht="15.6" hidden="false" customHeight="false" outlineLevel="0" collapsed="false">
      <c r="A8" s="15" t="s">
        <v>35</v>
      </c>
      <c r="B8" s="15"/>
      <c r="C8" s="15"/>
      <c r="D8" s="15"/>
      <c r="E8" s="15"/>
      <c r="F8" s="15"/>
      <c r="G8" s="15"/>
      <c r="H8" s="15"/>
      <c r="I8" s="15"/>
      <c r="J8" s="15"/>
    </row>
    <row r="9" customFormat="false" ht="13.2" hidden="false" customHeight="false" outlineLevel="0" collapsed="false">
      <c r="A9" s="18" t="s">
        <v>513</v>
      </c>
      <c r="B9" s="18" t="s">
        <v>514</v>
      </c>
      <c r="C9" s="18" t="s">
        <v>515</v>
      </c>
      <c r="D9" s="18" t="str">
        <f aca="false">"0,6192"</f>
        <v>0,6192</v>
      </c>
      <c r="E9" s="18" t="s">
        <v>14</v>
      </c>
      <c r="F9" s="18" t="s">
        <v>516</v>
      </c>
      <c r="G9" s="17" t="s">
        <v>464</v>
      </c>
      <c r="H9" s="17" t="s">
        <v>448</v>
      </c>
      <c r="I9" s="32" t="s">
        <v>465</v>
      </c>
      <c r="J9" s="32"/>
      <c r="K9" s="16" t="str">
        <f aca="false">"250,0"</f>
        <v>250,0</v>
      </c>
      <c r="L9" s="44" t="str">
        <f aca="false">"154,8125"</f>
        <v>154,8125</v>
      </c>
      <c r="M9" s="18" t="s">
        <v>22</v>
      </c>
    </row>
    <row r="10" customFormat="false" ht="13.2" hidden="false" customHeight="false" outlineLevel="0" collapsed="false">
      <c r="A10" s="21" t="s">
        <v>517</v>
      </c>
      <c r="B10" s="21" t="s">
        <v>518</v>
      </c>
      <c r="C10" s="21" t="s">
        <v>519</v>
      </c>
      <c r="D10" s="21" t="str">
        <f aca="false">"0,6141"</f>
        <v>0,6141</v>
      </c>
      <c r="E10" s="21" t="s">
        <v>14</v>
      </c>
      <c r="F10" s="21" t="s">
        <v>39</v>
      </c>
      <c r="G10" s="20" t="s">
        <v>437</v>
      </c>
      <c r="H10" s="20" t="s">
        <v>452</v>
      </c>
      <c r="I10" s="31"/>
      <c r="J10" s="31"/>
      <c r="K10" s="19" t="str">
        <f aca="false">"202,5"</f>
        <v>202,5</v>
      </c>
      <c r="L10" s="49" t="str">
        <f aca="false">"131,2055"</f>
        <v>131,2055</v>
      </c>
      <c r="M10" s="21" t="s">
        <v>22</v>
      </c>
    </row>
    <row r="12" customFormat="false" ht="15" hidden="false" customHeight="false" outlineLevel="0" collapsed="false">
      <c r="E12" s="23" t="s">
        <v>53</v>
      </c>
    </row>
    <row r="13" customFormat="false" ht="15" hidden="false" customHeight="false" outlineLevel="0" collapsed="false">
      <c r="E13" s="23" t="s">
        <v>54</v>
      </c>
    </row>
    <row r="14" customFormat="false" ht="15" hidden="false" customHeight="false" outlineLevel="0" collapsed="false">
      <c r="E14" s="23" t="s">
        <v>55</v>
      </c>
    </row>
    <row r="15" customFormat="false" ht="15" hidden="false" customHeight="false" outlineLevel="0" collapsed="false">
      <c r="E15" s="23" t="s">
        <v>56</v>
      </c>
    </row>
    <row r="16" customFormat="false" ht="15" hidden="false" customHeight="false" outlineLevel="0" collapsed="false">
      <c r="E16" s="23" t="s">
        <v>56</v>
      </c>
    </row>
    <row r="17" customFormat="false" ht="15" hidden="false" customHeight="false" outlineLevel="0" collapsed="false">
      <c r="E17" s="23" t="s">
        <v>57</v>
      </c>
    </row>
    <row r="18" customFormat="false" ht="15" hidden="false" customHeight="false" outlineLevel="0" collapsed="false">
      <c r="E18" s="23"/>
    </row>
    <row r="20" customFormat="false" ht="17.4" hidden="false" customHeight="false" outlineLevel="0" collapsed="false">
      <c r="A20" s="50" t="s">
        <v>58</v>
      </c>
      <c r="B20" s="50"/>
    </row>
    <row r="21" customFormat="false" ht="15.6" hidden="false" customHeight="false" outlineLevel="0" collapsed="false">
      <c r="A21" s="51" t="s">
        <v>59</v>
      </c>
      <c r="B21" s="51"/>
    </row>
    <row r="22" customFormat="false" ht="14.4" hidden="false" customHeight="false" outlineLevel="0" collapsed="false">
      <c r="A22" s="52"/>
      <c r="B22" s="53" t="s">
        <v>467</v>
      </c>
    </row>
    <row r="23" customFormat="false" ht="13.8" hidden="false" customHeight="false" outlineLevel="0" collapsed="false">
      <c r="A23" s="29" t="s">
        <v>61</v>
      </c>
      <c r="B23" s="29" t="s">
        <v>62</v>
      </c>
      <c r="C23" s="29" t="s">
        <v>63</v>
      </c>
      <c r="D23" s="29" t="s">
        <v>64</v>
      </c>
      <c r="E23" s="29" t="s">
        <v>65</v>
      </c>
    </row>
    <row r="24" customFormat="false" ht="13.2" hidden="false" customHeight="false" outlineLevel="0" collapsed="false">
      <c r="A24" s="54" t="s">
        <v>520</v>
      </c>
      <c r="B24" s="33" t="s">
        <v>348</v>
      </c>
      <c r="C24" s="33" t="s">
        <v>244</v>
      </c>
      <c r="D24" s="33" t="s">
        <v>426</v>
      </c>
      <c r="E24" s="1" t="s">
        <v>521</v>
      </c>
    </row>
    <row r="27" customFormat="false" ht="15.6" hidden="false" customHeight="false" outlineLevel="0" collapsed="false">
      <c r="A27" s="51" t="s">
        <v>69</v>
      </c>
      <c r="B27" s="51"/>
    </row>
    <row r="28" customFormat="false" ht="14.4" hidden="false" customHeight="false" outlineLevel="0" collapsed="false">
      <c r="A28" s="52"/>
      <c r="B28" s="53" t="s">
        <v>60</v>
      </c>
    </row>
    <row r="29" customFormat="false" ht="13.8" hidden="false" customHeight="false" outlineLevel="0" collapsed="false">
      <c r="A29" s="29" t="s">
        <v>61</v>
      </c>
      <c r="B29" s="29" t="s">
        <v>62</v>
      </c>
      <c r="C29" s="29" t="s">
        <v>63</v>
      </c>
      <c r="D29" s="29" t="s">
        <v>64</v>
      </c>
      <c r="E29" s="29" t="s">
        <v>65</v>
      </c>
    </row>
    <row r="30" customFormat="false" ht="13.2" hidden="false" customHeight="false" outlineLevel="0" collapsed="false">
      <c r="A30" s="54" t="s">
        <v>522</v>
      </c>
      <c r="B30" s="33" t="s">
        <v>60</v>
      </c>
      <c r="C30" s="33" t="s">
        <v>78</v>
      </c>
      <c r="D30" s="33" t="s">
        <v>448</v>
      </c>
      <c r="E30" s="1" t="s">
        <v>523</v>
      </c>
    </row>
    <row r="32" customFormat="false" ht="14.4" hidden="false" customHeight="false" outlineLevel="0" collapsed="false">
      <c r="A32" s="52"/>
      <c r="B32" s="53" t="s">
        <v>250</v>
      </c>
    </row>
    <row r="33" customFormat="false" ht="13.8" hidden="false" customHeight="false" outlineLevel="0" collapsed="false">
      <c r="A33" s="29" t="s">
        <v>61</v>
      </c>
      <c r="B33" s="29" t="s">
        <v>62</v>
      </c>
      <c r="C33" s="29" t="s">
        <v>63</v>
      </c>
      <c r="D33" s="29" t="s">
        <v>64</v>
      </c>
      <c r="E33" s="29" t="s">
        <v>65</v>
      </c>
    </row>
    <row r="34" customFormat="false" ht="13.2" hidden="false" customHeight="false" outlineLevel="0" collapsed="false">
      <c r="A34" s="54" t="s">
        <v>524</v>
      </c>
      <c r="B34" s="33" t="s">
        <v>381</v>
      </c>
      <c r="C34" s="33" t="s">
        <v>78</v>
      </c>
      <c r="D34" s="33" t="s">
        <v>452</v>
      </c>
      <c r="E34" s="1" t="s">
        <v>525</v>
      </c>
    </row>
  </sheetData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J5"/>
    <mergeCell ref="A8:J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4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109375" defaultRowHeight="13.2" zeroHeight="false" outlineLevelRow="0" outlineLevelCol="0"/>
  <cols>
    <col collapsed="false" customWidth="true" hidden="false" outlineLevel="0" max="1" min="1" style="33" width="24.67"/>
    <col collapsed="false" customWidth="true" hidden="false" outlineLevel="0" max="2" min="2" style="33" width="29.89"/>
    <col collapsed="false" customWidth="true" hidden="false" outlineLevel="0" max="3" min="3" style="33" width="14.88"/>
    <col collapsed="false" customWidth="true" hidden="false" outlineLevel="0" max="4" min="4" style="33" width="11.89"/>
    <col collapsed="false" customWidth="true" hidden="false" outlineLevel="0" max="5" min="5" style="33" width="21.78"/>
    <col collapsed="false" customWidth="true" hidden="false" outlineLevel="0" max="6" min="6" style="33" width="24.88"/>
    <col collapsed="false" customWidth="true" hidden="false" outlineLevel="0" max="9" min="7" style="34" width="5.55"/>
    <col collapsed="false" customWidth="true" hidden="false" outlineLevel="0" max="10" min="10" style="34" width="4.56"/>
    <col collapsed="false" customWidth="true" hidden="false" outlineLevel="0" max="11" min="11" style="1" width="7.67"/>
    <col collapsed="false" customWidth="true" hidden="false" outlineLevel="0" max="12" min="12" style="35" width="8.56"/>
    <col collapsed="false" customWidth="true" hidden="false" outlineLevel="0" max="13" min="13" style="33" width="8.33"/>
    <col collapsed="false" customWidth="false" hidden="false" outlineLevel="0" max="1024" min="14" style="34" width="9.11"/>
  </cols>
  <sheetData>
    <row r="1" s="35" customFormat="true" ht="28.95" hidden="false" customHeight="true" outlineLevel="0" collapsed="false">
      <c r="A1" s="36" t="s">
        <v>526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="35" customFormat="true" ht="61.95" hidden="false" customHeight="true" outlineLevel="0" collapsed="false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="9" customFormat="true" ht="12.75" hidden="false" customHeight="true" outlineLevel="0" collapsed="false">
      <c r="A3" s="37" t="s">
        <v>1</v>
      </c>
      <c r="B3" s="38" t="s">
        <v>2</v>
      </c>
      <c r="C3" s="38" t="s">
        <v>186</v>
      </c>
      <c r="D3" s="39" t="s">
        <v>4</v>
      </c>
      <c r="E3" s="39" t="s">
        <v>5</v>
      </c>
      <c r="F3" s="39" t="s">
        <v>6</v>
      </c>
      <c r="G3" s="40" t="s">
        <v>527</v>
      </c>
      <c r="H3" s="40"/>
      <c r="I3" s="40"/>
      <c r="J3" s="40"/>
      <c r="K3" s="39" t="s">
        <v>8</v>
      </c>
      <c r="L3" s="39" t="s">
        <v>189</v>
      </c>
      <c r="M3" s="41" t="s">
        <v>190</v>
      </c>
    </row>
    <row r="4" s="9" customFormat="true" ht="21" hidden="false" customHeight="true" outlineLevel="0" collapsed="false">
      <c r="A4" s="37"/>
      <c r="B4" s="38"/>
      <c r="C4" s="38"/>
      <c r="D4" s="38"/>
      <c r="E4" s="38"/>
      <c r="F4" s="38"/>
      <c r="G4" s="42" t="n">
        <v>1</v>
      </c>
      <c r="H4" s="42" t="n">
        <v>2</v>
      </c>
      <c r="I4" s="42" t="n">
        <v>3</v>
      </c>
      <c r="J4" s="42" t="s">
        <v>265</v>
      </c>
      <c r="K4" s="39"/>
      <c r="L4" s="39"/>
      <c r="M4" s="41"/>
    </row>
    <row r="5" customFormat="false" ht="15.6" hidden="false" customHeight="false" outlineLevel="0" collapsed="false">
      <c r="A5" s="11" t="s">
        <v>193</v>
      </c>
      <c r="B5" s="11"/>
      <c r="C5" s="11"/>
      <c r="D5" s="11"/>
      <c r="E5" s="11"/>
      <c r="F5" s="11"/>
      <c r="G5" s="11"/>
      <c r="H5" s="11"/>
      <c r="I5" s="11"/>
      <c r="J5" s="11"/>
    </row>
    <row r="6" customFormat="false" ht="13.2" hidden="false" customHeight="false" outlineLevel="0" collapsed="false">
      <c r="A6" s="14" t="s">
        <v>528</v>
      </c>
      <c r="B6" s="14" t="s">
        <v>529</v>
      </c>
      <c r="C6" s="14" t="s">
        <v>530</v>
      </c>
      <c r="D6" s="14" t="str">
        <f aca="false">"1,0716"</f>
        <v>1,0716</v>
      </c>
      <c r="E6" s="14" t="s">
        <v>531</v>
      </c>
      <c r="F6" s="14" t="s">
        <v>301</v>
      </c>
      <c r="G6" s="13" t="s">
        <v>29</v>
      </c>
      <c r="H6" s="13" t="s">
        <v>99</v>
      </c>
      <c r="I6" s="22" t="s">
        <v>30</v>
      </c>
      <c r="J6" s="22"/>
      <c r="K6" s="12" t="str">
        <f aca="false">"65,0"</f>
        <v>65,0</v>
      </c>
      <c r="L6" s="43" t="str">
        <f aca="false">"69,6540"</f>
        <v>69,6540</v>
      </c>
      <c r="M6" s="14" t="s">
        <v>22</v>
      </c>
    </row>
    <row r="8" customFormat="false" ht="15.6" hidden="false" customHeight="false" outlineLevel="0" collapsed="false">
      <c r="A8" s="15" t="s">
        <v>199</v>
      </c>
      <c r="B8" s="15"/>
      <c r="C8" s="15"/>
      <c r="D8" s="15"/>
      <c r="E8" s="15"/>
      <c r="F8" s="15"/>
      <c r="G8" s="15"/>
      <c r="H8" s="15"/>
      <c r="I8" s="15"/>
      <c r="J8" s="15"/>
    </row>
    <row r="9" customFormat="false" ht="13.2" hidden="false" customHeight="false" outlineLevel="0" collapsed="false">
      <c r="A9" s="14" t="s">
        <v>532</v>
      </c>
      <c r="B9" s="14" t="s">
        <v>533</v>
      </c>
      <c r="C9" s="14" t="s">
        <v>534</v>
      </c>
      <c r="D9" s="14" t="str">
        <f aca="false">"0,8595"</f>
        <v>0,8595</v>
      </c>
      <c r="E9" s="14" t="s">
        <v>14</v>
      </c>
      <c r="F9" s="14" t="s">
        <v>39</v>
      </c>
      <c r="G9" s="13" t="s">
        <v>50</v>
      </c>
      <c r="H9" s="13" t="s">
        <v>107</v>
      </c>
      <c r="I9" s="22" t="s">
        <v>410</v>
      </c>
      <c r="J9" s="22"/>
      <c r="K9" s="12" t="str">
        <f aca="false">"110,0"</f>
        <v>110,0</v>
      </c>
      <c r="L9" s="43" t="str">
        <f aca="false">"113,8388"</f>
        <v>113,8388</v>
      </c>
      <c r="M9" s="14" t="s">
        <v>22</v>
      </c>
    </row>
    <row r="11" customFormat="false" ht="15.6" hidden="false" customHeight="false" outlineLevel="0" collapsed="false">
      <c r="A11" s="15" t="s">
        <v>213</v>
      </c>
      <c r="B11" s="15"/>
      <c r="C11" s="15"/>
      <c r="D11" s="15"/>
      <c r="E11" s="15"/>
      <c r="F11" s="15"/>
      <c r="G11" s="15"/>
      <c r="H11" s="15"/>
      <c r="I11" s="15"/>
      <c r="J11" s="15"/>
    </row>
    <row r="12" customFormat="false" ht="13.2" hidden="false" customHeight="false" outlineLevel="0" collapsed="false">
      <c r="A12" s="14" t="s">
        <v>535</v>
      </c>
      <c r="B12" s="14" t="s">
        <v>536</v>
      </c>
      <c r="C12" s="14" t="s">
        <v>537</v>
      </c>
      <c r="D12" s="14" t="str">
        <f aca="false">"0,6812"</f>
        <v>0,6812</v>
      </c>
      <c r="E12" s="14" t="s">
        <v>14</v>
      </c>
      <c r="F12" s="14" t="s">
        <v>39</v>
      </c>
      <c r="G12" s="22" t="s">
        <v>40</v>
      </c>
      <c r="H12" s="13" t="s">
        <v>40</v>
      </c>
      <c r="I12" s="22" t="s">
        <v>50</v>
      </c>
      <c r="J12" s="22"/>
      <c r="K12" s="12" t="str">
        <f aca="false">"90,0"</f>
        <v>90,0</v>
      </c>
      <c r="L12" s="43" t="str">
        <f aca="false">"61,3125"</f>
        <v>61,3125</v>
      </c>
      <c r="M12" s="14" t="s">
        <v>22</v>
      </c>
    </row>
    <row r="14" customFormat="false" ht="15.6" hidden="false" customHeight="false" outlineLevel="0" collapsed="false">
      <c r="A14" s="15" t="s">
        <v>35</v>
      </c>
      <c r="B14" s="15"/>
      <c r="C14" s="15"/>
      <c r="D14" s="15"/>
      <c r="E14" s="15"/>
      <c r="F14" s="15"/>
      <c r="G14" s="15"/>
      <c r="H14" s="15"/>
      <c r="I14" s="15"/>
      <c r="J14" s="15"/>
    </row>
    <row r="15" customFormat="false" ht="13.2" hidden="false" customHeight="false" outlineLevel="0" collapsed="false">
      <c r="A15" s="14" t="s">
        <v>538</v>
      </c>
      <c r="B15" s="14" t="s">
        <v>539</v>
      </c>
      <c r="C15" s="14" t="s">
        <v>540</v>
      </c>
      <c r="D15" s="14" t="str">
        <f aca="false">"0,6205"</f>
        <v>0,6205</v>
      </c>
      <c r="E15" s="14" t="s">
        <v>531</v>
      </c>
      <c r="F15" s="14" t="s">
        <v>301</v>
      </c>
      <c r="G15" s="22" t="s">
        <v>437</v>
      </c>
      <c r="H15" s="22" t="s">
        <v>437</v>
      </c>
      <c r="I15" s="22" t="s">
        <v>437</v>
      </c>
      <c r="J15" s="22"/>
      <c r="K15" s="12" t="str">
        <f aca="false">"0.00"</f>
        <v>0.00</v>
      </c>
      <c r="L15" s="43" t="str">
        <f aca="false">"0,0000"</f>
        <v>0,0000</v>
      </c>
      <c r="M15" s="14" t="s">
        <v>22</v>
      </c>
    </row>
    <row r="17" customFormat="false" ht="15.6" hidden="false" customHeight="false" outlineLevel="0" collapsed="false">
      <c r="A17" s="15" t="s">
        <v>329</v>
      </c>
      <c r="B17" s="15"/>
      <c r="C17" s="15"/>
      <c r="D17" s="15"/>
      <c r="E17" s="15"/>
      <c r="F17" s="15"/>
      <c r="G17" s="15"/>
      <c r="H17" s="15"/>
      <c r="I17" s="15"/>
      <c r="J17" s="15"/>
    </row>
    <row r="18" customFormat="false" ht="13.2" hidden="false" customHeight="false" outlineLevel="0" collapsed="false">
      <c r="A18" s="14" t="s">
        <v>541</v>
      </c>
      <c r="B18" s="14" t="s">
        <v>542</v>
      </c>
      <c r="C18" s="14" t="s">
        <v>543</v>
      </c>
      <c r="D18" s="14" t="str">
        <f aca="false">"0,5341"</f>
        <v>0,5341</v>
      </c>
      <c r="E18" s="14" t="s">
        <v>431</v>
      </c>
      <c r="F18" s="14" t="s">
        <v>39</v>
      </c>
      <c r="G18" s="13" t="s">
        <v>505</v>
      </c>
      <c r="H18" s="13" t="s">
        <v>448</v>
      </c>
      <c r="I18" s="22" t="s">
        <v>465</v>
      </c>
      <c r="J18" s="22"/>
      <c r="K18" s="12" t="str">
        <f aca="false">"250,0"</f>
        <v>250,0</v>
      </c>
      <c r="L18" s="43" t="str">
        <f aca="false">"140,8662"</f>
        <v>140,8662</v>
      </c>
      <c r="M18" s="14" t="s">
        <v>22</v>
      </c>
    </row>
    <row r="20" customFormat="false" ht="15" hidden="false" customHeight="false" outlineLevel="0" collapsed="false">
      <c r="E20" s="23" t="s">
        <v>53</v>
      </c>
    </row>
    <row r="21" customFormat="false" ht="15" hidden="false" customHeight="false" outlineLevel="0" collapsed="false">
      <c r="E21" s="23" t="s">
        <v>54</v>
      </c>
    </row>
    <row r="22" customFormat="false" ht="15" hidden="false" customHeight="false" outlineLevel="0" collapsed="false">
      <c r="E22" s="23" t="s">
        <v>55</v>
      </c>
    </row>
    <row r="23" customFormat="false" ht="15" hidden="false" customHeight="false" outlineLevel="0" collapsed="false">
      <c r="E23" s="23" t="s">
        <v>56</v>
      </c>
    </row>
    <row r="24" customFormat="false" ht="15" hidden="false" customHeight="false" outlineLevel="0" collapsed="false">
      <c r="E24" s="23" t="s">
        <v>56</v>
      </c>
    </row>
    <row r="25" customFormat="false" ht="15" hidden="false" customHeight="false" outlineLevel="0" collapsed="false">
      <c r="E25" s="23" t="s">
        <v>57</v>
      </c>
    </row>
    <row r="26" customFormat="false" ht="15" hidden="false" customHeight="false" outlineLevel="0" collapsed="false">
      <c r="E26" s="23"/>
    </row>
    <row r="28" customFormat="false" ht="17.4" hidden="false" customHeight="false" outlineLevel="0" collapsed="false">
      <c r="A28" s="50" t="s">
        <v>58</v>
      </c>
      <c r="B28" s="50"/>
    </row>
    <row r="29" customFormat="false" ht="15.6" hidden="false" customHeight="false" outlineLevel="0" collapsed="false">
      <c r="A29" s="51" t="s">
        <v>59</v>
      </c>
      <c r="B29" s="51"/>
    </row>
    <row r="30" customFormat="false" ht="14.4" hidden="false" customHeight="false" outlineLevel="0" collapsed="false">
      <c r="A30" s="52"/>
      <c r="B30" s="53" t="s">
        <v>60</v>
      </c>
    </row>
    <row r="31" customFormat="false" ht="13.8" hidden="false" customHeight="false" outlineLevel="0" collapsed="false">
      <c r="A31" s="29" t="s">
        <v>61</v>
      </c>
      <c r="B31" s="29" t="s">
        <v>62</v>
      </c>
      <c r="C31" s="29" t="s">
        <v>63</v>
      </c>
      <c r="D31" s="29" t="s">
        <v>64</v>
      </c>
      <c r="E31" s="29" t="s">
        <v>65</v>
      </c>
    </row>
    <row r="32" customFormat="false" ht="13.2" hidden="false" customHeight="false" outlineLevel="0" collapsed="false">
      <c r="A32" s="54" t="s">
        <v>544</v>
      </c>
      <c r="B32" s="33" t="s">
        <v>60</v>
      </c>
      <c r="C32" s="33" t="s">
        <v>233</v>
      </c>
      <c r="D32" s="33" t="s">
        <v>99</v>
      </c>
      <c r="E32" s="1" t="s">
        <v>545</v>
      </c>
    </row>
    <row r="34" customFormat="false" ht="14.4" hidden="false" customHeight="false" outlineLevel="0" collapsed="false">
      <c r="A34" s="52"/>
      <c r="B34" s="53" t="s">
        <v>250</v>
      </c>
    </row>
    <row r="35" customFormat="false" ht="13.8" hidden="false" customHeight="false" outlineLevel="0" collapsed="false">
      <c r="A35" s="29" t="s">
        <v>61</v>
      </c>
      <c r="B35" s="29" t="s">
        <v>62</v>
      </c>
      <c r="C35" s="29" t="s">
        <v>63</v>
      </c>
      <c r="D35" s="29" t="s">
        <v>64</v>
      </c>
      <c r="E35" s="29" t="s">
        <v>65</v>
      </c>
    </row>
    <row r="36" customFormat="false" ht="13.2" hidden="false" customHeight="false" outlineLevel="0" collapsed="false">
      <c r="A36" s="54" t="s">
        <v>546</v>
      </c>
      <c r="B36" s="33" t="s">
        <v>378</v>
      </c>
      <c r="C36" s="33" t="s">
        <v>237</v>
      </c>
      <c r="D36" s="33" t="s">
        <v>107</v>
      </c>
      <c r="E36" s="1" t="s">
        <v>547</v>
      </c>
    </row>
    <row r="39" customFormat="false" ht="15.6" hidden="false" customHeight="false" outlineLevel="0" collapsed="false">
      <c r="A39" s="51" t="s">
        <v>69</v>
      </c>
      <c r="B39" s="51"/>
    </row>
    <row r="40" customFormat="false" ht="14.4" hidden="false" customHeight="false" outlineLevel="0" collapsed="false">
      <c r="A40" s="52"/>
      <c r="B40" s="53" t="s">
        <v>340</v>
      </c>
    </row>
    <row r="41" customFormat="false" ht="13.8" hidden="false" customHeight="false" outlineLevel="0" collapsed="false">
      <c r="A41" s="29" t="s">
        <v>61</v>
      </c>
      <c r="B41" s="29" t="s">
        <v>62</v>
      </c>
      <c r="C41" s="29" t="s">
        <v>63</v>
      </c>
      <c r="D41" s="29" t="s">
        <v>64</v>
      </c>
      <c r="E41" s="29" t="s">
        <v>65</v>
      </c>
    </row>
    <row r="42" customFormat="false" ht="13.2" hidden="false" customHeight="false" outlineLevel="0" collapsed="false">
      <c r="A42" s="54" t="s">
        <v>548</v>
      </c>
      <c r="B42" s="33" t="s">
        <v>549</v>
      </c>
      <c r="C42" s="33" t="s">
        <v>244</v>
      </c>
      <c r="D42" s="33" t="s">
        <v>40</v>
      </c>
      <c r="E42" s="1" t="s">
        <v>550</v>
      </c>
    </row>
    <row r="44" customFormat="false" ht="14.4" hidden="false" customHeight="false" outlineLevel="0" collapsed="false">
      <c r="A44" s="52"/>
      <c r="B44" s="53" t="s">
        <v>250</v>
      </c>
    </row>
    <row r="45" customFormat="false" ht="13.8" hidden="false" customHeight="false" outlineLevel="0" collapsed="false">
      <c r="A45" s="29" t="s">
        <v>61</v>
      </c>
      <c r="B45" s="29" t="s">
        <v>62</v>
      </c>
      <c r="C45" s="29" t="s">
        <v>63</v>
      </c>
      <c r="D45" s="29" t="s">
        <v>64</v>
      </c>
      <c r="E45" s="29" t="s">
        <v>65</v>
      </c>
    </row>
    <row r="46" customFormat="false" ht="13.2" hidden="false" customHeight="false" outlineLevel="0" collapsed="false">
      <c r="A46" s="54" t="s">
        <v>551</v>
      </c>
      <c r="B46" s="33" t="s">
        <v>381</v>
      </c>
      <c r="C46" s="33" t="s">
        <v>366</v>
      </c>
      <c r="D46" s="33" t="s">
        <v>448</v>
      </c>
      <c r="E46" s="1" t="s">
        <v>552</v>
      </c>
    </row>
  </sheetData>
  <mergeCells count="16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J5"/>
    <mergeCell ref="A8:J8"/>
    <mergeCell ref="A11:J11"/>
    <mergeCell ref="A14:J14"/>
    <mergeCell ref="A17:J1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109375" defaultRowHeight="13.2" zeroHeight="false" outlineLevelRow="0" outlineLevelCol="0"/>
  <cols>
    <col collapsed="false" customWidth="true" hidden="false" outlineLevel="0" max="1" min="1" style="33" width="24.67"/>
    <col collapsed="false" customWidth="true" hidden="false" outlineLevel="0" max="2" min="2" style="33" width="27.66"/>
    <col collapsed="false" customWidth="true" hidden="false" outlineLevel="0" max="3" min="3" style="33" width="14.88"/>
    <col collapsed="false" customWidth="true" hidden="false" outlineLevel="0" max="4" min="4" style="33" width="11.89"/>
    <col collapsed="false" customWidth="true" hidden="false" outlineLevel="0" max="5" min="5" style="33" width="21.78"/>
    <col collapsed="false" customWidth="true" hidden="false" outlineLevel="0" max="6" min="6" style="33" width="35.89"/>
    <col collapsed="false" customWidth="true" hidden="false" outlineLevel="0" max="9" min="7" style="34" width="5.55"/>
    <col collapsed="false" customWidth="true" hidden="false" outlineLevel="0" max="10" min="10" style="34" width="4.56"/>
    <col collapsed="false" customWidth="true" hidden="false" outlineLevel="0" max="11" min="11" style="1" width="7.67"/>
    <col collapsed="false" customWidth="true" hidden="false" outlineLevel="0" max="12" min="12" style="35" width="8.56"/>
    <col collapsed="false" customWidth="true" hidden="false" outlineLevel="0" max="13" min="13" style="33" width="8.33"/>
    <col collapsed="false" customWidth="false" hidden="false" outlineLevel="0" max="1024" min="14" style="34" width="9.11"/>
  </cols>
  <sheetData>
    <row r="1" s="35" customFormat="true" ht="28.95" hidden="false" customHeight="true" outlineLevel="0" collapsed="false">
      <c r="A1" s="36" t="s">
        <v>553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="35" customFormat="true" ht="61.95" hidden="false" customHeight="true" outlineLevel="0" collapsed="false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="9" customFormat="true" ht="12.75" hidden="false" customHeight="true" outlineLevel="0" collapsed="false">
      <c r="A3" s="37" t="s">
        <v>1</v>
      </c>
      <c r="B3" s="38" t="s">
        <v>2</v>
      </c>
      <c r="C3" s="38" t="s">
        <v>186</v>
      </c>
      <c r="D3" s="39" t="s">
        <v>4</v>
      </c>
      <c r="E3" s="39" t="s">
        <v>5</v>
      </c>
      <c r="F3" s="39" t="s">
        <v>6</v>
      </c>
      <c r="G3" s="40" t="s">
        <v>527</v>
      </c>
      <c r="H3" s="40"/>
      <c r="I3" s="40"/>
      <c r="J3" s="40"/>
      <c r="K3" s="39" t="s">
        <v>8</v>
      </c>
      <c r="L3" s="39" t="s">
        <v>189</v>
      </c>
      <c r="M3" s="41" t="s">
        <v>190</v>
      </c>
    </row>
    <row r="4" s="9" customFormat="true" ht="21" hidden="false" customHeight="true" outlineLevel="0" collapsed="false">
      <c r="A4" s="37"/>
      <c r="B4" s="38"/>
      <c r="C4" s="38"/>
      <c r="D4" s="38"/>
      <c r="E4" s="38"/>
      <c r="F4" s="38"/>
      <c r="G4" s="42" t="n">
        <v>1</v>
      </c>
      <c r="H4" s="42" t="n">
        <v>2</v>
      </c>
      <c r="I4" s="42" t="n">
        <v>3</v>
      </c>
      <c r="J4" s="42" t="s">
        <v>265</v>
      </c>
      <c r="K4" s="39"/>
      <c r="L4" s="39"/>
      <c r="M4" s="41"/>
    </row>
    <row r="5" customFormat="false" ht="15.6" hidden="false" customHeight="false" outlineLevel="0" collapsed="false">
      <c r="A5" s="11" t="s">
        <v>193</v>
      </c>
      <c r="B5" s="11"/>
      <c r="C5" s="11"/>
      <c r="D5" s="11"/>
      <c r="E5" s="11"/>
      <c r="F5" s="11"/>
      <c r="G5" s="11"/>
      <c r="H5" s="11"/>
      <c r="I5" s="11"/>
      <c r="J5" s="11"/>
    </row>
    <row r="6" customFormat="false" ht="13.2" hidden="false" customHeight="false" outlineLevel="0" collapsed="false">
      <c r="A6" s="14" t="s">
        <v>554</v>
      </c>
      <c r="B6" s="14" t="s">
        <v>555</v>
      </c>
      <c r="C6" s="14" t="s">
        <v>556</v>
      </c>
      <c r="D6" s="14" t="str">
        <f aca="false">"0,9043"</f>
        <v>0,9043</v>
      </c>
      <c r="E6" s="14" t="s">
        <v>14</v>
      </c>
      <c r="F6" s="14" t="s">
        <v>557</v>
      </c>
      <c r="G6" s="13" t="s">
        <v>107</v>
      </c>
      <c r="H6" s="13" t="s">
        <v>108</v>
      </c>
      <c r="I6" s="22" t="s">
        <v>392</v>
      </c>
      <c r="J6" s="22"/>
      <c r="K6" s="12" t="str">
        <f aca="false">"120,0"</f>
        <v>120,0</v>
      </c>
      <c r="L6" s="43" t="str">
        <f aca="false">"108,5220"</f>
        <v>108,5220</v>
      </c>
      <c r="M6" s="14" t="s">
        <v>22</v>
      </c>
    </row>
    <row r="8" customFormat="false" ht="15" hidden="false" customHeight="false" outlineLevel="0" collapsed="false">
      <c r="E8" s="23" t="s">
        <v>53</v>
      </c>
    </row>
    <row r="9" customFormat="false" ht="15" hidden="false" customHeight="false" outlineLevel="0" collapsed="false">
      <c r="E9" s="23" t="s">
        <v>54</v>
      </c>
    </row>
    <row r="10" customFormat="false" ht="15" hidden="false" customHeight="false" outlineLevel="0" collapsed="false">
      <c r="E10" s="23" t="s">
        <v>55</v>
      </c>
    </row>
    <row r="11" customFormat="false" ht="15" hidden="false" customHeight="false" outlineLevel="0" collapsed="false">
      <c r="E11" s="23" t="s">
        <v>56</v>
      </c>
    </row>
    <row r="12" customFormat="false" ht="15" hidden="false" customHeight="false" outlineLevel="0" collapsed="false">
      <c r="E12" s="23" t="s">
        <v>56</v>
      </c>
    </row>
    <row r="13" customFormat="false" ht="15" hidden="false" customHeight="false" outlineLevel="0" collapsed="false">
      <c r="E13" s="23" t="s">
        <v>57</v>
      </c>
    </row>
    <row r="14" customFormat="false" ht="15" hidden="false" customHeight="false" outlineLevel="0" collapsed="false">
      <c r="E14" s="23"/>
    </row>
    <row r="16" customFormat="false" ht="17.4" hidden="false" customHeight="false" outlineLevel="0" collapsed="false">
      <c r="A16" s="50" t="s">
        <v>58</v>
      </c>
      <c r="B16" s="50"/>
    </row>
    <row r="17" customFormat="false" ht="15.6" hidden="false" customHeight="false" outlineLevel="0" collapsed="false">
      <c r="A17" s="51" t="s">
        <v>69</v>
      </c>
      <c r="B17" s="51"/>
    </row>
    <row r="18" customFormat="false" ht="14.4" hidden="false" customHeight="false" outlineLevel="0" collapsed="false">
      <c r="A18" s="52"/>
      <c r="B18" s="53" t="s">
        <v>340</v>
      </c>
    </row>
    <row r="19" customFormat="false" ht="13.8" hidden="false" customHeight="false" outlineLevel="0" collapsed="false">
      <c r="A19" s="29" t="s">
        <v>61</v>
      </c>
      <c r="B19" s="29" t="s">
        <v>62</v>
      </c>
      <c r="C19" s="29" t="s">
        <v>63</v>
      </c>
      <c r="D19" s="29" t="s">
        <v>64</v>
      </c>
      <c r="E19" s="29" t="s">
        <v>65</v>
      </c>
    </row>
    <row r="20" customFormat="false" ht="13.2" hidden="false" customHeight="false" outlineLevel="0" collapsed="false">
      <c r="A20" s="54" t="s">
        <v>558</v>
      </c>
      <c r="B20" s="33" t="s">
        <v>549</v>
      </c>
      <c r="C20" s="33" t="s">
        <v>233</v>
      </c>
      <c r="D20" s="33" t="s">
        <v>108</v>
      </c>
      <c r="E20" s="1" t="s">
        <v>559</v>
      </c>
    </row>
  </sheetData>
  <mergeCells count="12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J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109375" defaultRowHeight="13.2" zeroHeight="false" outlineLevelRow="0" outlineLevelCol="0"/>
  <cols>
    <col collapsed="false" customWidth="true" hidden="false" outlineLevel="0" max="1" min="1" style="33" width="24.67"/>
    <col collapsed="false" customWidth="true" hidden="false" outlineLevel="0" max="2" min="2" style="33" width="25.21"/>
    <col collapsed="false" customWidth="true" hidden="false" outlineLevel="0" max="3" min="3" style="33" width="14.88"/>
    <col collapsed="false" customWidth="true" hidden="false" outlineLevel="0" max="4" min="4" style="33" width="11.89"/>
    <col collapsed="false" customWidth="true" hidden="false" outlineLevel="0" max="5" min="5" style="33" width="21.78"/>
    <col collapsed="false" customWidth="true" hidden="false" outlineLevel="0" max="6" min="6" style="33" width="16.11"/>
    <col collapsed="false" customWidth="true" hidden="false" outlineLevel="0" max="10" min="7" style="34" width="4.56"/>
    <col collapsed="false" customWidth="true" hidden="false" outlineLevel="0" max="11" min="11" style="1" width="7.67"/>
    <col collapsed="false" customWidth="true" hidden="false" outlineLevel="0" max="12" min="12" style="35" width="7.56"/>
    <col collapsed="false" customWidth="true" hidden="false" outlineLevel="0" max="13" min="13" style="33" width="8.33"/>
    <col collapsed="false" customWidth="false" hidden="false" outlineLevel="0" max="1024" min="14" style="34" width="9.11"/>
  </cols>
  <sheetData>
    <row r="1" s="35" customFormat="true" ht="28.95" hidden="false" customHeight="true" outlineLevel="0" collapsed="false">
      <c r="A1" s="36" t="s">
        <v>560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="35" customFormat="true" ht="61.95" hidden="false" customHeight="true" outlineLevel="0" collapsed="false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="9" customFormat="true" ht="12.75" hidden="false" customHeight="true" outlineLevel="0" collapsed="false">
      <c r="A3" s="37" t="s">
        <v>1</v>
      </c>
      <c r="B3" s="38" t="s">
        <v>2</v>
      </c>
      <c r="C3" s="38" t="s">
        <v>186</v>
      </c>
      <c r="D3" s="39" t="s">
        <v>4</v>
      </c>
      <c r="E3" s="39" t="s">
        <v>5</v>
      </c>
      <c r="F3" s="39" t="s">
        <v>6</v>
      </c>
      <c r="G3" s="40" t="s">
        <v>561</v>
      </c>
      <c r="H3" s="40"/>
      <c r="I3" s="40"/>
      <c r="J3" s="40"/>
      <c r="K3" s="39" t="s">
        <v>8</v>
      </c>
      <c r="L3" s="39" t="s">
        <v>189</v>
      </c>
      <c r="M3" s="41" t="s">
        <v>190</v>
      </c>
    </row>
    <row r="4" s="9" customFormat="true" ht="21" hidden="false" customHeight="true" outlineLevel="0" collapsed="false">
      <c r="A4" s="37"/>
      <c r="B4" s="38"/>
      <c r="C4" s="38"/>
      <c r="D4" s="38"/>
      <c r="E4" s="38"/>
      <c r="F4" s="38"/>
      <c r="G4" s="42" t="n">
        <v>1</v>
      </c>
      <c r="H4" s="42" t="n">
        <v>2</v>
      </c>
      <c r="I4" s="42" t="n">
        <v>3</v>
      </c>
      <c r="J4" s="42" t="s">
        <v>265</v>
      </c>
      <c r="K4" s="39"/>
      <c r="L4" s="39"/>
      <c r="M4" s="41"/>
    </row>
    <row r="5" customFormat="false" ht="15.6" hidden="false" customHeight="false" outlineLevel="0" collapsed="false">
      <c r="A5" s="11" t="s">
        <v>228</v>
      </c>
      <c r="B5" s="11"/>
      <c r="C5" s="11"/>
      <c r="D5" s="11"/>
      <c r="E5" s="11"/>
      <c r="F5" s="11"/>
      <c r="G5" s="11"/>
      <c r="H5" s="11"/>
      <c r="I5" s="11"/>
      <c r="J5" s="11"/>
    </row>
    <row r="6" customFormat="false" ht="13.2" hidden="false" customHeight="false" outlineLevel="0" collapsed="false">
      <c r="A6" s="14" t="s">
        <v>562</v>
      </c>
      <c r="B6" s="14" t="s">
        <v>563</v>
      </c>
      <c r="C6" s="14" t="s">
        <v>564</v>
      </c>
      <c r="D6" s="14" t="str">
        <f aca="false">"0,5744"</f>
        <v>0,5744</v>
      </c>
      <c r="E6" s="14" t="s">
        <v>14</v>
      </c>
      <c r="F6" s="14" t="s">
        <v>39</v>
      </c>
      <c r="G6" s="13" t="s">
        <v>30</v>
      </c>
      <c r="H6" s="13" t="s">
        <v>31</v>
      </c>
      <c r="I6" s="13" t="s">
        <v>41</v>
      </c>
      <c r="J6" s="22"/>
      <c r="K6" s="12" t="str">
        <f aca="false">"95,0"</f>
        <v>95,0</v>
      </c>
      <c r="L6" s="43" t="str">
        <f aca="false">"54,5680"</f>
        <v>54,5680</v>
      </c>
      <c r="M6" s="14" t="s">
        <v>22</v>
      </c>
    </row>
    <row r="8" customFormat="false" ht="15" hidden="false" customHeight="false" outlineLevel="0" collapsed="false">
      <c r="E8" s="23" t="s">
        <v>53</v>
      </c>
    </row>
    <row r="9" customFormat="false" ht="15" hidden="false" customHeight="false" outlineLevel="0" collapsed="false">
      <c r="E9" s="23" t="s">
        <v>54</v>
      </c>
    </row>
    <row r="10" customFormat="false" ht="15" hidden="false" customHeight="false" outlineLevel="0" collapsed="false">
      <c r="E10" s="23" t="s">
        <v>55</v>
      </c>
    </row>
    <row r="11" customFormat="false" ht="15" hidden="false" customHeight="false" outlineLevel="0" collapsed="false">
      <c r="E11" s="23" t="s">
        <v>56</v>
      </c>
    </row>
    <row r="12" customFormat="false" ht="15" hidden="false" customHeight="false" outlineLevel="0" collapsed="false">
      <c r="E12" s="23" t="s">
        <v>56</v>
      </c>
    </row>
    <row r="13" customFormat="false" ht="15" hidden="false" customHeight="false" outlineLevel="0" collapsed="false">
      <c r="E13" s="23" t="s">
        <v>57</v>
      </c>
    </row>
    <row r="14" customFormat="false" ht="15" hidden="false" customHeight="false" outlineLevel="0" collapsed="false">
      <c r="E14" s="23"/>
    </row>
    <row r="16" customFormat="false" ht="17.4" hidden="false" customHeight="false" outlineLevel="0" collapsed="false">
      <c r="A16" s="50" t="s">
        <v>58</v>
      </c>
      <c r="B16" s="50"/>
    </row>
    <row r="17" customFormat="false" ht="15.6" hidden="false" customHeight="false" outlineLevel="0" collapsed="false">
      <c r="A17" s="51" t="s">
        <v>69</v>
      </c>
      <c r="B17" s="51"/>
    </row>
    <row r="18" customFormat="false" ht="14.4" hidden="false" customHeight="false" outlineLevel="0" collapsed="false">
      <c r="A18" s="52"/>
      <c r="B18" s="53" t="s">
        <v>60</v>
      </c>
    </row>
    <row r="19" customFormat="false" ht="13.8" hidden="false" customHeight="false" outlineLevel="0" collapsed="false">
      <c r="A19" s="29" t="s">
        <v>61</v>
      </c>
      <c r="B19" s="29" t="s">
        <v>62</v>
      </c>
      <c r="C19" s="29" t="s">
        <v>63</v>
      </c>
      <c r="D19" s="29" t="s">
        <v>64</v>
      </c>
      <c r="E19" s="29" t="s">
        <v>65</v>
      </c>
    </row>
    <row r="20" customFormat="false" ht="13.2" hidden="false" customHeight="false" outlineLevel="0" collapsed="false">
      <c r="A20" s="54" t="s">
        <v>565</v>
      </c>
      <c r="B20" s="33" t="s">
        <v>60</v>
      </c>
      <c r="C20" s="33" t="s">
        <v>253</v>
      </c>
      <c r="D20" s="33" t="s">
        <v>41</v>
      </c>
      <c r="E20" s="1" t="s">
        <v>566</v>
      </c>
    </row>
  </sheetData>
  <mergeCells count="12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J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7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109375" defaultRowHeight="13.2" zeroHeight="false" outlineLevelRow="0" outlineLevelCol="0"/>
  <cols>
    <col collapsed="false" customWidth="true" hidden="false" outlineLevel="0" max="1" min="1" style="33" width="24.67"/>
    <col collapsed="false" customWidth="true" hidden="false" outlineLevel="0" max="2" min="2" style="33" width="29.89"/>
    <col collapsed="false" customWidth="true" hidden="false" outlineLevel="0" max="3" min="3" style="33" width="14.88"/>
    <col collapsed="false" customWidth="true" hidden="false" outlineLevel="0" max="4" min="4" style="33" width="11.89"/>
    <col collapsed="false" customWidth="true" hidden="false" outlineLevel="0" max="5" min="5" style="33" width="21.78"/>
    <col collapsed="false" customWidth="true" hidden="false" outlineLevel="0" max="6" min="6" style="33" width="40.22"/>
    <col collapsed="false" customWidth="true" hidden="false" outlineLevel="0" max="10" min="7" style="34" width="5.55"/>
    <col collapsed="false" customWidth="true" hidden="false" outlineLevel="0" max="11" min="11" style="1" width="7.67"/>
    <col collapsed="false" customWidth="true" hidden="false" outlineLevel="0" max="12" min="12" style="35" width="8.56"/>
    <col collapsed="false" customWidth="true" hidden="false" outlineLevel="0" max="13" min="13" style="33" width="15"/>
    <col collapsed="false" customWidth="false" hidden="false" outlineLevel="0" max="1024" min="14" style="34" width="9.11"/>
  </cols>
  <sheetData>
    <row r="1" s="35" customFormat="true" ht="28.95" hidden="false" customHeight="true" outlineLevel="0" collapsed="false">
      <c r="A1" s="36" t="s">
        <v>567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="35" customFormat="true" ht="61.95" hidden="false" customHeight="true" outlineLevel="0" collapsed="false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="9" customFormat="true" ht="12.75" hidden="false" customHeight="true" outlineLevel="0" collapsed="false">
      <c r="A3" s="37" t="s">
        <v>1</v>
      </c>
      <c r="B3" s="38" t="s">
        <v>2</v>
      </c>
      <c r="C3" s="38" t="s">
        <v>186</v>
      </c>
      <c r="D3" s="39" t="s">
        <v>4</v>
      </c>
      <c r="E3" s="39" t="s">
        <v>5</v>
      </c>
      <c r="F3" s="39" t="s">
        <v>6</v>
      </c>
      <c r="G3" s="40" t="s">
        <v>527</v>
      </c>
      <c r="H3" s="40"/>
      <c r="I3" s="40"/>
      <c r="J3" s="40"/>
      <c r="K3" s="39" t="s">
        <v>8</v>
      </c>
      <c r="L3" s="39" t="s">
        <v>189</v>
      </c>
      <c r="M3" s="41" t="s">
        <v>190</v>
      </c>
    </row>
    <row r="4" s="9" customFormat="true" ht="21" hidden="false" customHeight="true" outlineLevel="0" collapsed="false">
      <c r="A4" s="37"/>
      <c r="B4" s="38"/>
      <c r="C4" s="38"/>
      <c r="D4" s="38"/>
      <c r="E4" s="38"/>
      <c r="F4" s="38"/>
      <c r="G4" s="42" t="n">
        <v>1</v>
      </c>
      <c r="H4" s="42" t="n">
        <v>2</v>
      </c>
      <c r="I4" s="42" t="n">
        <v>3</v>
      </c>
      <c r="J4" s="42" t="s">
        <v>265</v>
      </c>
      <c r="K4" s="39"/>
      <c r="L4" s="39"/>
      <c r="M4" s="41"/>
    </row>
    <row r="5" customFormat="false" ht="15.6" hidden="false" customHeight="false" outlineLevel="0" collapsed="false">
      <c r="A5" s="11" t="s">
        <v>568</v>
      </c>
      <c r="B5" s="11"/>
      <c r="C5" s="11"/>
      <c r="D5" s="11"/>
      <c r="E5" s="11"/>
      <c r="F5" s="11"/>
      <c r="G5" s="11"/>
      <c r="H5" s="11"/>
      <c r="I5" s="11"/>
      <c r="J5" s="11"/>
    </row>
    <row r="6" customFormat="false" ht="13.2" hidden="false" customHeight="false" outlineLevel="0" collapsed="false">
      <c r="A6" s="14" t="s">
        <v>569</v>
      </c>
      <c r="B6" s="14" t="s">
        <v>570</v>
      </c>
      <c r="C6" s="14" t="s">
        <v>571</v>
      </c>
      <c r="D6" s="14" t="str">
        <f aca="false">"1,2580"</f>
        <v>1,2580</v>
      </c>
      <c r="E6" s="14" t="s">
        <v>531</v>
      </c>
      <c r="F6" s="14" t="s">
        <v>301</v>
      </c>
      <c r="G6" s="13" t="s">
        <v>28</v>
      </c>
      <c r="H6" s="13" t="s">
        <v>286</v>
      </c>
      <c r="I6" s="22" t="s">
        <v>287</v>
      </c>
      <c r="J6" s="22"/>
      <c r="K6" s="12" t="str">
        <f aca="false">"52,5"</f>
        <v>52,5</v>
      </c>
      <c r="L6" s="43" t="str">
        <f aca="false">"66,0450"</f>
        <v>66,0450</v>
      </c>
      <c r="M6" s="14" t="s">
        <v>22</v>
      </c>
    </row>
    <row r="8" customFormat="false" ht="15.6" hidden="false" customHeight="false" outlineLevel="0" collapsed="false">
      <c r="A8" s="15" t="s">
        <v>387</v>
      </c>
      <c r="B8" s="15"/>
      <c r="C8" s="15"/>
      <c r="D8" s="15"/>
      <c r="E8" s="15"/>
      <c r="F8" s="15"/>
      <c r="G8" s="15"/>
      <c r="H8" s="15"/>
      <c r="I8" s="15"/>
      <c r="J8" s="15"/>
    </row>
    <row r="9" customFormat="false" ht="13.2" hidden="false" customHeight="false" outlineLevel="0" collapsed="false">
      <c r="A9" s="18" t="s">
        <v>572</v>
      </c>
      <c r="B9" s="18" t="s">
        <v>573</v>
      </c>
      <c r="C9" s="18" t="s">
        <v>390</v>
      </c>
      <c r="D9" s="18" t="str">
        <f aca="false">"1,1076"</f>
        <v>1,1076</v>
      </c>
      <c r="E9" s="18" t="s">
        <v>14</v>
      </c>
      <c r="F9" s="18" t="s">
        <v>39</v>
      </c>
      <c r="G9" s="17" t="s">
        <v>197</v>
      </c>
      <c r="H9" s="17" t="s">
        <v>29</v>
      </c>
      <c r="I9" s="32" t="s">
        <v>282</v>
      </c>
      <c r="J9" s="32"/>
      <c r="K9" s="16" t="str">
        <f aca="false">"60,0"</f>
        <v>60,0</v>
      </c>
      <c r="L9" s="44" t="str">
        <f aca="false">"66,4560"</f>
        <v>66,4560</v>
      </c>
      <c r="M9" s="18" t="s">
        <v>22</v>
      </c>
    </row>
    <row r="10" customFormat="false" ht="13.2" hidden="false" customHeight="false" outlineLevel="0" collapsed="false">
      <c r="A10" s="21" t="s">
        <v>574</v>
      </c>
      <c r="B10" s="21" t="s">
        <v>575</v>
      </c>
      <c r="C10" s="21" t="s">
        <v>576</v>
      </c>
      <c r="D10" s="21" t="str">
        <f aca="false">"1,1230"</f>
        <v>1,1230</v>
      </c>
      <c r="E10" s="21" t="s">
        <v>14</v>
      </c>
      <c r="F10" s="21" t="s">
        <v>39</v>
      </c>
      <c r="G10" s="31" t="s">
        <v>577</v>
      </c>
      <c r="H10" s="31" t="s">
        <v>577</v>
      </c>
      <c r="I10" s="31" t="s">
        <v>577</v>
      </c>
      <c r="J10" s="31"/>
      <c r="K10" s="19" t="str">
        <f aca="false">"0.00"</f>
        <v>0.00</v>
      </c>
      <c r="L10" s="49" t="str">
        <f aca="false">"0,0000"</f>
        <v>0,0000</v>
      </c>
      <c r="M10" s="21" t="s">
        <v>22</v>
      </c>
    </row>
    <row r="12" customFormat="false" ht="15.6" hidden="false" customHeight="false" outlineLevel="0" collapsed="false">
      <c r="A12" s="15" t="s">
        <v>193</v>
      </c>
      <c r="B12" s="15"/>
      <c r="C12" s="15"/>
      <c r="D12" s="15"/>
      <c r="E12" s="15"/>
      <c r="F12" s="15"/>
      <c r="G12" s="15"/>
      <c r="H12" s="15"/>
      <c r="I12" s="15"/>
      <c r="J12" s="15"/>
    </row>
    <row r="13" customFormat="false" ht="13.2" hidden="false" customHeight="false" outlineLevel="0" collapsed="false">
      <c r="A13" s="18" t="s">
        <v>194</v>
      </c>
      <c r="B13" s="18" t="s">
        <v>195</v>
      </c>
      <c r="C13" s="18" t="s">
        <v>196</v>
      </c>
      <c r="D13" s="18" t="str">
        <f aca="false">"1,0500"</f>
        <v>1,0500</v>
      </c>
      <c r="E13" s="18" t="s">
        <v>14</v>
      </c>
      <c r="F13" s="18" t="s">
        <v>39</v>
      </c>
      <c r="G13" s="17" t="s">
        <v>100</v>
      </c>
      <c r="H13" s="32" t="s">
        <v>101</v>
      </c>
      <c r="I13" s="17" t="s">
        <v>101</v>
      </c>
      <c r="J13" s="32"/>
      <c r="K13" s="16" t="str">
        <f aca="false">"77,5"</f>
        <v>77,5</v>
      </c>
      <c r="L13" s="44" t="str">
        <f aca="false">"81,3750"</f>
        <v>81,3750</v>
      </c>
      <c r="M13" s="18" t="s">
        <v>22</v>
      </c>
    </row>
    <row r="14" customFormat="false" ht="13.2" hidden="false" customHeight="false" outlineLevel="0" collapsed="false">
      <c r="A14" s="21" t="s">
        <v>578</v>
      </c>
      <c r="B14" s="21" t="s">
        <v>579</v>
      </c>
      <c r="C14" s="21" t="s">
        <v>580</v>
      </c>
      <c r="D14" s="21" t="str">
        <f aca="false">"1,0796"</f>
        <v>1,0796</v>
      </c>
      <c r="E14" s="21" t="s">
        <v>14</v>
      </c>
      <c r="F14" s="21" t="s">
        <v>39</v>
      </c>
      <c r="G14" s="20" t="s">
        <v>581</v>
      </c>
      <c r="H14" s="31" t="s">
        <v>18</v>
      </c>
      <c r="I14" s="31" t="s">
        <v>18</v>
      </c>
      <c r="J14" s="31"/>
      <c r="K14" s="19" t="str">
        <f aca="false">"37,5"</f>
        <v>37,5</v>
      </c>
      <c r="L14" s="49" t="str">
        <f aca="false">"40,4850"</f>
        <v>40,4850</v>
      </c>
      <c r="M14" s="21" t="s">
        <v>22</v>
      </c>
    </row>
    <row r="16" customFormat="false" ht="15.6" hidden="false" customHeight="false" outlineLevel="0" collapsed="false">
      <c r="A16" s="15" t="s">
        <v>266</v>
      </c>
      <c r="B16" s="15"/>
      <c r="C16" s="15"/>
      <c r="D16" s="15"/>
      <c r="E16" s="15"/>
      <c r="F16" s="15"/>
      <c r="G16" s="15"/>
      <c r="H16" s="15"/>
      <c r="I16" s="15"/>
      <c r="J16" s="15"/>
    </row>
    <row r="17" customFormat="false" ht="13.2" hidden="false" customHeight="false" outlineLevel="0" collapsed="false">
      <c r="A17" s="18" t="s">
        <v>267</v>
      </c>
      <c r="B17" s="18" t="s">
        <v>268</v>
      </c>
      <c r="C17" s="18" t="s">
        <v>269</v>
      </c>
      <c r="D17" s="18" t="str">
        <f aca="false">"0,9289"</f>
        <v>0,9289</v>
      </c>
      <c r="E17" s="18" t="s">
        <v>48</v>
      </c>
      <c r="F17" s="18" t="s">
        <v>39</v>
      </c>
      <c r="G17" s="17" t="s">
        <v>18</v>
      </c>
      <c r="H17" s="17" t="s">
        <v>19</v>
      </c>
      <c r="I17" s="17" t="s">
        <v>28</v>
      </c>
      <c r="J17" s="32"/>
      <c r="K17" s="16" t="str">
        <f aca="false">"50,0"</f>
        <v>50,0</v>
      </c>
      <c r="L17" s="44" t="str">
        <f aca="false">"46,4450"</f>
        <v>46,4450</v>
      </c>
      <c r="M17" s="18" t="s">
        <v>22</v>
      </c>
    </row>
    <row r="18" customFormat="false" ht="13.2" hidden="false" customHeight="false" outlineLevel="0" collapsed="false">
      <c r="A18" s="21" t="s">
        <v>582</v>
      </c>
      <c r="B18" s="21" t="s">
        <v>583</v>
      </c>
      <c r="C18" s="21" t="s">
        <v>413</v>
      </c>
      <c r="D18" s="21" t="str">
        <f aca="false">"0,9392"</f>
        <v>0,9392</v>
      </c>
      <c r="E18" s="21" t="s">
        <v>14</v>
      </c>
      <c r="F18" s="21" t="s">
        <v>584</v>
      </c>
      <c r="G18" s="20" t="s">
        <v>286</v>
      </c>
      <c r="H18" s="31" t="s">
        <v>197</v>
      </c>
      <c r="I18" s="31" t="s">
        <v>197</v>
      </c>
      <c r="J18" s="31"/>
      <c r="K18" s="19" t="str">
        <f aca="false">"52,5"</f>
        <v>52,5</v>
      </c>
      <c r="L18" s="49" t="str">
        <f aca="false">"49,3080"</f>
        <v>49,3080</v>
      </c>
      <c r="M18" s="21" t="s">
        <v>22</v>
      </c>
    </row>
    <row r="20" customFormat="false" ht="15.6" hidden="false" customHeight="false" outlineLevel="0" collapsed="false">
      <c r="A20" s="15" t="s">
        <v>199</v>
      </c>
      <c r="B20" s="15"/>
      <c r="C20" s="15"/>
      <c r="D20" s="15"/>
      <c r="E20" s="15"/>
      <c r="F20" s="15"/>
      <c r="G20" s="15"/>
      <c r="H20" s="15"/>
      <c r="I20" s="15"/>
      <c r="J20" s="15"/>
    </row>
    <row r="21" customFormat="false" ht="13.2" hidden="false" customHeight="false" outlineLevel="0" collapsed="false">
      <c r="A21" s="18" t="s">
        <v>585</v>
      </c>
      <c r="B21" s="18" t="s">
        <v>586</v>
      </c>
      <c r="C21" s="18" t="s">
        <v>587</v>
      </c>
      <c r="D21" s="18" t="str">
        <f aca="false">"0,8563"</f>
        <v>0,8563</v>
      </c>
      <c r="E21" s="18" t="s">
        <v>48</v>
      </c>
      <c r="F21" s="18" t="s">
        <v>39</v>
      </c>
      <c r="G21" s="17" t="s">
        <v>18</v>
      </c>
      <c r="H21" s="17" t="s">
        <v>19</v>
      </c>
      <c r="I21" s="32" t="s">
        <v>28</v>
      </c>
      <c r="J21" s="32"/>
      <c r="K21" s="16" t="str">
        <f aca="false">"45,0"</f>
        <v>45,0</v>
      </c>
      <c r="L21" s="44" t="str">
        <f aca="false">"38,5335"</f>
        <v>38,5335</v>
      </c>
      <c r="M21" s="18" t="s">
        <v>22</v>
      </c>
    </row>
    <row r="22" customFormat="false" ht="13.2" hidden="false" customHeight="false" outlineLevel="0" collapsed="false">
      <c r="A22" s="45" t="s">
        <v>96</v>
      </c>
      <c r="B22" s="45" t="s">
        <v>588</v>
      </c>
      <c r="C22" s="45" t="s">
        <v>98</v>
      </c>
      <c r="D22" s="45" t="str">
        <f aca="false">"0,8722"</f>
        <v>0,8722</v>
      </c>
      <c r="E22" s="45" t="s">
        <v>14</v>
      </c>
      <c r="F22" s="45" t="s">
        <v>27</v>
      </c>
      <c r="G22" s="46" t="s">
        <v>29</v>
      </c>
      <c r="H22" s="46" t="s">
        <v>99</v>
      </c>
      <c r="I22" s="55" t="s">
        <v>319</v>
      </c>
      <c r="J22" s="55"/>
      <c r="K22" s="47" t="str">
        <f aca="false">"65,0"</f>
        <v>65,0</v>
      </c>
      <c r="L22" s="48" t="str">
        <f aca="false">"56,6898"</f>
        <v>56,6898</v>
      </c>
      <c r="M22" s="45" t="s">
        <v>22</v>
      </c>
    </row>
    <row r="23" customFormat="false" ht="13.2" hidden="false" customHeight="false" outlineLevel="0" collapsed="false">
      <c r="A23" s="21" t="s">
        <v>532</v>
      </c>
      <c r="B23" s="21" t="s">
        <v>533</v>
      </c>
      <c r="C23" s="21" t="s">
        <v>534</v>
      </c>
      <c r="D23" s="21" t="str">
        <f aca="false">"0,8595"</f>
        <v>0,8595</v>
      </c>
      <c r="E23" s="21" t="s">
        <v>14</v>
      </c>
      <c r="F23" s="21" t="s">
        <v>39</v>
      </c>
      <c r="G23" s="20" t="s">
        <v>30</v>
      </c>
      <c r="H23" s="20" t="s">
        <v>208</v>
      </c>
      <c r="I23" s="31" t="s">
        <v>31</v>
      </c>
      <c r="J23" s="31"/>
      <c r="K23" s="19" t="str">
        <f aca="false">"75,0"</f>
        <v>75,0</v>
      </c>
      <c r="L23" s="49" t="str">
        <f aca="false">"77,6174"</f>
        <v>77,6174</v>
      </c>
      <c r="M23" s="21" t="s">
        <v>22</v>
      </c>
    </row>
    <row r="25" customFormat="false" ht="15.6" hidden="false" customHeight="false" outlineLevel="0" collapsed="false">
      <c r="A25" s="15" t="s">
        <v>387</v>
      </c>
      <c r="B25" s="15"/>
      <c r="C25" s="15"/>
      <c r="D25" s="15"/>
      <c r="E25" s="15"/>
      <c r="F25" s="15"/>
      <c r="G25" s="15"/>
      <c r="H25" s="15"/>
      <c r="I25" s="15"/>
      <c r="J25" s="15"/>
    </row>
    <row r="26" customFormat="false" ht="13.2" hidden="false" customHeight="false" outlineLevel="0" collapsed="false">
      <c r="A26" s="14" t="s">
        <v>589</v>
      </c>
      <c r="B26" s="14" t="s">
        <v>590</v>
      </c>
      <c r="C26" s="14" t="s">
        <v>591</v>
      </c>
      <c r="D26" s="14" t="str">
        <f aca="false">"1,0459"</f>
        <v>1,0459</v>
      </c>
      <c r="E26" s="14" t="s">
        <v>14</v>
      </c>
      <c r="F26" s="14" t="s">
        <v>39</v>
      </c>
      <c r="G26" s="13" t="s">
        <v>592</v>
      </c>
      <c r="H26" s="13" t="s">
        <v>16</v>
      </c>
      <c r="I26" s="22" t="s">
        <v>270</v>
      </c>
      <c r="J26" s="22"/>
      <c r="K26" s="12" t="str">
        <f aca="false">"25,0"</f>
        <v>25,0</v>
      </c>
      <c r="L26" s="43" t="str">
        <f aca="false">"26,1475"</f>
        <v>26,1475</v>
      </c>
      <c r="M26" s="14" t="s">
        <v>22</v>
      </c>
    </row>
    <row r="28" customFormat="false" ht="15.6" hidden="false" customHeight="false" outlineLevel="0" collapsed="false">
      <c r="A28" s="15" t="s">
        <v>193</v>
      </c>
      <c r="B28" s="15"/>
      <c r="C28" s="15"/>
      <c r="D28" s="15"/>
      <c r="E28" s="15"/>
      <c r="F28" s="15"/>
      <c r="G28" s="15"/>
      <c r="H28" s="15"/>
      <c r="I28" s="15"/>
      <c r="J28" s="15"/>
    </row>
    <row r="29" customFormat="false" ht="13.2" hidden="false" customHeight="false" outlineLevel="0" collapsed="false">
      <c r="A29" s="14" t="s">
        <v>554</v>
      </c>
      <c r="B29" s="14" t="s">
        <v>555</v>
      </c>
      <c r="C29" s="14" t="s">
        <v>556</v>
      </c>
      <c r="D29" s="14" t="str">
        <f aca="false">"0,9043"</f>
        <v>0,9043</v>
      </c>
      <c r="E29" s="14" t="s">
        <v>14</v>
      </c>
      <c r="F29" s="14" t="s">
        <v>557</v>
      </c>
      <c r="G29" s="13" t="s">
        <v>41</v>
      </c>
      <c r="H29" s="13" t="s">
        <v>593</v>
      </c>
      <c r="I29" s="22" t="s">
        <v>594</v>
      </c>
      <c r="J29" s="22"/>
      <c r="K29" s="12" t="str">
        <f aca="false">"102,5"</f>
        <v>102,5</v>
      </c>
      <c r="L29" s="43" t="str">
        <f aca="false">"92,6959"</f>
        <v>92,6959</v>
      </c>
      <c r="M29" s="14" t="s">
        <v>22</v>
      </c>
    </row>
    <row r="31" customFormat="false" ht="15.6" hidden="false" customHeight="false" outlineLevel="0" collapsed="false">
      <c r="A31" s="15" t="s">
        <v>266</v>
      </c>
      <c r="B31" s="15"/>
      <c r="C31" s="15"/>
      <c r="D31" s="15"/>
      <c r="E31" s="15"/>
      <c r="F31" s="15"/>
      <c r="G31" s="15"/>
      <c r="H31" s="15"/>
      <c r="I31" s="15"/>
      <c r="J31" s="15"/>
    </row>
    <row r="32" customFormat="false" ht="13.2" hidden="false" customHeight="false" outlineLevel="0" collapsed="false">
      <c r="A32" s="18" t="s">
        <v>595</v>
      </c>
      <c r="B32" s="18" t="s">
        <v>596</v>
      </c>
      <c r="C32" s="18" t="s">
        <v>597</v>
      </c>
      <c r="D32" s="18" t="str">
        <f aca="false">"0,7897"</f>
        <v>0,7897</v>
      </c>
      <c r="E32" s="18" t="s">
        <v>14</v>
      </c>
      <c r="F32" s="18" t="s">
        <v>598</v>
      </c>
      <c r="G32" s="32" t="s">
        <v>30</v>
      </c>
      <c r="H32" s="17" t="s">
        <v>30</v>
      </c>
      <c r="I32" s="32" t="s">
        <v>31</v>
      </c>
      <c r="J32" s="32"/>
      <c r="K32" s="16" t="str">
        <f aca="false">"70,0"</f>
        <v>70,0</v>
      </c>
      <c r="L32" s="44" t="str">
        <f aca="false">"55,2755"</f>
        <v>55,2755</v>
      </c>
      <c r="M32" s="18" t="s">
        <v>599</v>
      </c>
    </row>
    <row r="33" customFormat="false" ht="13.2" hidden="false" customHeight="false" outlineLevel="0" collapsed="false">
      <c r="A33" s="45" t="s">
        <v>600</v>
      </c>
      <c r="B33" s="45" t="s">
        <v>601</v>
      </c>
      <c r="C33" s="45" t="s">
        <v>602</v>
      </c>
      <c r="D33" s="45" t="str">
        <f aca="false">"0,7620"</f>
        <v>0,7620</v>
      </c>
      <c r="E33" s="45" t="s">
        <v>531</v>
      </c>
      <c r="F33" s="45" t="s">
        <v>301</v>
      </c>
      <c r="G33" s="46" t="s">
        <v>410</v>
      </c>
      <c r="H33" s="46" t="s">
        <v>108</v>
      </c>
      <c r="I33" s="46" t="s">
        <v>402</v>
      </c>
      <c r="J33" s="55"/>
      <c r="K33" s="47" t="str">
        <f aca="false">"125,0"</f>
        <v>125,0</v>
      </c>
      <c r="L33" s="48" t="str">
        <f aca="false">"95,2500"</f>
        <v>95,2500</v>
      </c>
      <c r="M33" s="45" t="s">
        <v>22</v>
      </c>
    </row>
    <row r="34" customFormat="false" ht="13.2" hidden="false" customHeight="false" outlineLevel="0" collapsed="false">
      <c r="A34" s="21" t="s">
        <v>603</v>
      </c>
      <c r="B34" s="21" t="s">
        <v>604</v>
      </c>
      <c r="C34" s="21" t="s">
        <v>605</v>
      </c>
      <c r="D34" s="21" t="str">
        <f aca="false">"0,7660"</f>
        <v>0,7660</v>
      </c>
      <c r="E34" s="21" t="s">
        <v>14</v>
      </c>
      <c r="F34" s="21" t="s">
        <v>39</v>
      </c>
      <c r="G34" s="20" t="s">
        <v>606</v>
      </c>
      <c r="H34" s="20" t="s">
        <v>607</v>
      </c>
      <c r="I34" s="31" t="s">
        <v>608</v>
      </c>
      <c r="J34" s="31"/>
      <c r="K34" s="19" t="str">
        <f aca="false">"97,5"</f>
        <v>97,5</v>
      </c>
      <c r="L34" s="49" t="str">
        <f aca="false">"74,6850"</f>
        <v>74,6850</v>
      </c>
      <c r="M34" s="21" t="s">
        <v>22</v>
      </c>
    </row>
    <row r="36" customFormat="false" ht="15.6" hidden="false" customHeight="false" outlineLevel="0" collapsed="false">
      <c r="A36" s="15" t="s">
        <v>199</v>
      </c>
      <c r="B36" s="15"/>
      <c r="C36" s="15"/>
      <c r="D36" s="15"/>
      <c r="E36" s="15"/>
      <c r="F36" s="15"/>
      <c r="G36" s="15"/>
      <c r="H36" s="15"/>
      <c r="I36" s="15"/>
      <c r="J36" s="15"/>
    </row>
    <row r="37" customFormat="false" ht="13.2" hidden="false" customHeight="false" outlineLevel="0" collapsed="false">
      <c r="A37" s="18" t="s">
        <v>609</v>
      </c>
      <c r="B37" s="18" t="s">
        <v>610</v>
      </c>
      <c r="C37" s="18" t="s">
        <v>611</v>
      </c>
      <c r="D37" s="18" t="str">
        <f aca="false">"0,6975"</f>
        <v>0,6975</v>
      </c>
      <c r="E37" s="18" t="s">
        <v>14</v>
      </c>
      <c r="F37" s="18" t="s">
        <v>39</v>
      </c>
      <c r="G37" s="17" t="s">
        <v>608</v>
      </c>
      <c r="H37" s="17" t="s">
        <v>612</v>
      </c>
      <c r="I37" s="17" t="s">
        <v>401</v>
      </c>
      <c r="J37" s="32"/>
      <c r="K37" s="16" t="str">
        <f aca="false">"117,5"</f>
        <v>117,5</v>
      </c>
      <c r="L37" s="44" t="str">
        <f aca="false">"81,9621"</f>
        <v>81,9621</v>
      </c>
      <c r="M37" s="18" t="s">
        <v>22</v>
      </c>
    </row>
    <row r="38" customFormat="false" ht="13.2" hidden="false" customHeight="false" outlineLevel="0" collapsed="false">
      <c r="A38" s="45" t="s">
        <v>283</v>
      </c>
      <c r="B38" s="45" t="s">
        <v>284</v>
      </c>
      <c r="C38" s="45" t="s">
        <v>285</v>
      </c>
      <c r="D38" s="45" t="str">
        <f aca="false">"0,7288"</f>
        <v>0,7288</v>
      </c>
      <c r="E38" s="45" t="s">
        <v>48</v>
      </c>
      <c r="F38" s="45" t="s">
        <v>39</v>
      </c>
      <c r="G38" s="46" t="s">
        <v>401</v>
      </c>
      <c r="H38" s="46" t="s">
        <v>391</v>
      </c>
      <c r="I38" s="46" t="s">
        <v>402</v>
      </c>
      <c r="J38" s="55"/>
      <c r="K38" s="47" t="str">
        <f aca="false">"125,0"</f>
        <v>125,0</v>
      </c>
      <c r="L38" s="48" t="str">
        <f aca="false">"91,1000"</f>
        <v>91,1000</v>
      </c>
      <c r="M38" s="45" t="s">
        <v>22</v>
      </c>
    </row>
    <row r="39" customFormat="false" ht="13.2" hidden="false" customHeight="false" outlineLevel="0" collapsed="false">
      <c r="A39" s="45" t="s">
        <v>613</v>
      </c>
      <c r="B39" s="45" t="s">
        <v>614</v>
      </c>
      <c r="C39" s="45" t="s">
        <v>615</v>
      </c>
      <c r="D39" s="45" t="str">
        <f aca="false">"0,7027"</f>
        <v>0,7027</v>
      </c>
      <c r="E39" s="45" t="s">
        <v>14</v>
      </c>
      <c r="F39" s="45" t="s">
        <v>39</v>
      </c>
      <c r="G39" s="46" t="s">
        <v>401</v>
      </c>
      <c r="H39" s="46" t="s">
        <v>108</v>
      </c>
      <c r="I39" s="55" t="s">
        <v>402</v>
      </c>
      <c r="J39" s="55"/>
      <c r="K39" s="47" t="str">
        <f aca="false">"120,0"</f>
        <v>120,0</v>
      </c>
      <c r="L39" s="48" t="str">
        <f aca="false">"84,3180"</f>
        <v>84,3180</v>
      </c>
      <c r="M39" s="45" t="s">
        <v>22</v>
      </c>
    </row>
    <row r="40" customFormat="false" ht="13.2" hidden="false" customHeight="false" outlineLevel="0" collapsed="false">
      <c r="A40" s="45" t="s">
        <v>616</v>
      </c>
      <c r="B40" s="45" t="s">
        <v>617</v>
      </c>
      <c r="C40" s="45" t="s">
        <v>618</v>
      </c>
      <c r="D40" s="45" t="str">
        <f aca="false">"0,6947"</f>
        <v>0,6947</v>
      </c>
      <c r="E40" s="45" t="s">
        <v>14</v>
      </c>
      <c r="F40" s="45" t="s">
        <v>39</v>
      </c>
      <c r="G40" s="55" t="s">
        <v>594</v>
      </c>
      <c r="H40" s="46" t="s">
        <v>594</v>
      </c>
      <c r="I40" s="55" t="s">
        <v>401</v>
      </c>
      <c r="J40" s="55"/>
      <c r="K40" s="47" t="str">
        <f aca="false">"105,0"</f>
        <v>105,0</v>
      </c>
      <c r="L40" s="48" t="str">
        <f aca="false">"72,9435"</f>
        <v>72,9435</v>
      </c>
      <c r="M40" s="45" t="s">
        <v>22</v>
      </c>
    </row>
    <row r="41" customFormat="false" ht="13.2" hidden="false" customHeight="false" outlineLevel="0" collapsed="false">
      <c r="A41" s="45" t="s">
        <v>619</v>
      </c>
      <c r="B41" s="45" t="s">
        <v>620</v>
      </c>
      <c r="C41" s="45" t="s">
        <v>621</v>
      </c>
      <c r="D41" s="45" t="str">
        <f aca="false">"0,7056"</f>
        <v>0,7056</v>
      </c>
      <c r="E41" s="45" t="s">
        <v>14</v>
      </c>
      <c r="F41" s="45" t="s">
        <v>39</v>
      </c>
      <c r="G41" s="46" t="s">
        <v>108</v>
      </c>
      <c r="H41" s="46" t="s">
        <v>402</v>
      </c>
      <c r="I41" s="46" t="s">
        <v>109</v>
      </c>
      <c r="J41" s="55"/>
      <c r="K41" s="47" t="str">
        <f aca="false">"130,0"</f>
        <v>130,0</v>
      </c>
      <c r="L41" s="48" t="str">
        <f aca="false">"91,7345"</f>
        <v>91,7345</v>
      </c>
      <c r="M41" s="45" t="s">
        <v>22</v>
      </c>
    </row>
    <row r="42" customFormat="false" ht="13.2" hidden="false" customHeight="false" outlineLevel="0" collapsed="false">
      <c r="A42" s="45" t="s">
        <v>622</v>
      </c>
      <c r="B42" s="45" t="s">
        <v>623</v>
      </c>
      <c r="C42" s="45" t="s">
        <v>624</v>
      </c>
      <c r="D42" s="45" t="str">
        <f aca="false">"0,7005"</f>
        <v>0,7005</v>
      </c>
      <c r="E42" s="45" t="s">
        <v>14</v>
      </c>
      <c r="F42" s="45" t="s">
        <v>625</v>
      </c>
      <c r="G42" s="46" t="s">
        <v>107</v>
      </c>
      <c r="H42" s="55" t="s">
        <v>401</v>
      </c>
      <c r="I42" s="46" t="s">
        <v>401</v>
      </c>
      <c r="J42" s="55"/>
      <c r="K42" s="47" t="str">
        <f aca="false">"117,5"</f>
        <v>117,5</v>
      </c>
      <c r="L42" s="48" t="str">
        <f aca="false">"82,3029"</f>
        <v>82,3029</v>
      </c>
      <c r="M42" s="45" t="s">
        <v>22</v>
      </c>
    </row>
    <row r="43" customFormat="false" ht="13.2" hidden="false" customHeight="false" outlineLevel="0" collapsed="false">
      <c r="A43" s="45" t="s">
        <v>626</v>
      </c>
      <c r="B43" s="45" t="s">
        <v>627</v>
      </c>
      <c r="C43" s="45" t="s">
        <v>628</v>
      </c>
      <c r="D43" s="45" t="str">
        <f aca="false">"0,6990"</f>
        <v>0,6990</v>
      </c>
      <c r="E43" s="45" t="s">
        <v>14</v>
      </c>
      <c r="F43" s="45" t="s">
        <v>629</v>
      </c>
      <c r="G43" s="55" t="s">
        <v>107</v>
      </c>
      <c r="H43" s="55" t="s">
        <v>107</v>
      </c>
      <c r="I43" s="46" t="s">
        <v>401</v>
      </c>
      <c r="J43" s="55"/>
      <c r="K43" s="47" t="str">
        <f aca="false">"117,5"</f>
        <v>117,5</v>
      </c>
      <c r="L43" s="48" t="str">
        <f aca="false">"82,1325"</f>
        <v>82,1325</v>
      </c>
      <c r="M43" s="45" t="s">
        <v>22</v>
      </c>
    </row>
    <row r="44" customFormat="false" ht="13.2" hidden="false" customHeight="false" outlineLevel="0" collapsed="false">
      <c r="A44" s="45" t="s">
        <v>630</v>
      </c>
      <c r="B44" s="45" t="s">
        <v>631</v>
      </c>
      <c r="C44" s="45" t="s">
        <v>632</v>
      </c>
      <c r="D44" s="45" t="str">
        <f aca="false">"0,6920"</f>
        <v>0,6920</v>
      </c>
      <c r="E44" s="45" t="s">
        <v>14</v>
      </c>
      <c r="F44" s="45" t="s">
        <v>39</v>
      </c>
      <c r="G44" s="55" t="s">
        <v>50</v>
      </c>
      <c r="H44" s="46" t="s">
        <v>107</v>
      </c>
      <c r="I44" s="46" t="s">
        <v>401</v>
      </c>
      <c r="J44" s="55"/>
      <c r="K44" s="47" t="str">
        <f aca="false">"117,5"</f>
        <v>117,5</v>
      </c>
      <c r="L44" s="48" t="str">
        <f aca="false">"81,3041"</f>
        <v>81,3041</v>
      </c>
      <c r="M44" s="45" t="s">
        <v>22</v>
      </c>
    </row>
    <row r="45" customFormat="false" ht="13.2" hidden="false" customHeight="false" outlineLevel="0" collapsed="false">
      <c r="A45" s="45" t="s">
        <v>633</v>
      </c>
      <c r="B45" s="45" t="s">
        <v>634</v>
      </c>
      <c r="C45" s="45" t="s">
        <v>635</v>
      </c>
      <c r="D45" s="45" t="str">
        <f aca="false">"0,6934"</f>
        <v>0,6934</v>
      </c>
      <c r="E45" s="45" t="s">
        <v>14</v>
      </c>
      <c r="F45" s="45" t="s">
        <v>636</v>
      </c>
      <c r="G45" s="46" t="s">
        <v>637</v>
      </c>
      <c r="H45" s="55" t="s">
        <v>638</v>
      </c>
      <c r="I45" s="55" t="s">
        <v>638</v>
      </c>
      <c r="J45" s="55"/>
      <c r="K45" s="47" t="str">
        <f aca="false">"135,0"</f>
        <v>135,0</v>
      </c>
      <c r="L45" s="48" t="str">
        <f aca="false">"93,6023"</f>
        <v>93,6023</v>
      </c>
      <c r="M45" s="45" t="s">
        <v>22</v>
      </c>
    </row>
    <row r="46" customFormat="false" ht="13.2" hidden="false" customHeight="false" outlineLevel="0" collapsed="false">
      <c r="A46" s="21" t="s">
        <v>619</v>
      </c>
      <c r="B46" s="21" t="s">
        <v>639</v>
      </c>
      <c r="C46" s="21" t="s">
        <v>621</v>
      </c>
      <c r="D46" s="21" t="str">
        <f aca="false">"0,7056"</f>
        <v>0,7056</v>
      </c>
      <c r="E46" s="21" t="s">
        <v>14</v>
      </c>
      <c r="F46" s="21" t="s">
        <v>39</v>
      </c>
      <c r="G46" s="20" t="s">
        <v>108</v>
      </c>
      <c r="H46" s="20" t="s">
        <v>402</v>
      </c>
      <c r="I46" s="20" t="s">
        <v>109</v>
      </c>
      <c r="J46" s="31"/>
      <c r="K46" s="19" t="str">
        <f aca="false">"130,0"</f>
        <v>130,0</v>
      </c>
      <c r="L46" s="49" t="str">
        <f aca="false">"112,3748"</f>
        <v>112,3748</v>
      </c>
      <c r="M46" s="21" t="s">
        <v>22</v>
      </c>
    </row>
    <row r="48" customFormat="false" ht="15.6" hidden="false" customHeight="false" outlineLevel="0" collapsed="false">
      <c r="A48" s="15" t="s">
        <v>213</v>
      </c>
      <c r="B48" s="15"/>
      <c r="C48" s="15"/>
      <c r="D48" s="15"/>
      <c r="E48" s="15"/>
      <c r="F48" s="15"/>
      <c r="G48" s="15"/>
      <c r="H48" s="15"/>
      <c r="I48" s="15"/>
      <c r="J48" s="15"/>
    </row>
    <row r="49" customFormat="false" ht="13.2" hidden="false" customHeight="false" outlineLevel="0" collapsed="false">
      <c r="A49" s="18" t="s">
        <v>640</v>
      </c>
      <c r="B49" s="18" t="s">
        <v>641</v>
      </c>
      <c r="C49" s="18" t="s">
        <v>642</v>
      </c>
      <c r="D49" s="18" t="str">
        <f aca="false">"0,6482"</f>
        <v>0,6482</v>
      </c>
      <c r="E49" s="18" t="s">
        <v>14</v>
      </c>
      <c r="F49" s="18" t="s">
        <v>39</v>
      </c>
      <c r="G49" s="17" t="s">
        <v>40</v>
      </c>
      <c r="H49" s="17" t="s">
        <v>607</v>
      </c>
      <c r="I49" s="32" t="s">
        <v>593</v>
      </c>
      <c r="J49" s="32"/>
      <c r="K49" s="16" t="str">
        <f aca="false">"97,5"</f>
        <v>97,5</v>
      </c>
      <c r="L49" s="44" t="str">
        <f aca="false">"63,1995"</f>
        <v>63,1995</v>
      </c>
      <c r="M49" s="18" t="s">
        <v>643</v>
      </c>
    </row>
    <row r="50" customFormat="false" ht="13.2" hidden="false" customHeight="false" outlineLevel="0" collapsed="false">
      <c r="A50" s="45" t="s">
        <v>644</v>
      </c>
      <c r="B50" s="45" t="s">
        <v>645</v>
      </c>
      <c r="C50" s="45" t="s">
        <v>221</v>
      </c>
      <c r="D50" s="45" t="str">
        <f aca="false">"0,6600"</f>
        <v>0,6600</v>
      </c>
      <c r="E50" s="45" t="s">
        <v>14</v>
      </c>
      <c r="F50" s="45" t="s">
        <v>646</v>
      </c>
      <c r="G50" s="46" t="s">
        <v>115</v>
      </c>
      <c r="H50" s="46" t="s">
        <v>123</v>
      </c>
      <c r="I50" s="55" t="s">
        <v>116</v>
      </c>
      <c r="J50" s="55"/>
      <c r="K50" s="47" t="str">
        <f aca="false">"145,0"</f>
        <v>145,0</v>
      </c>
      <c r="L50" s="48" t="str">
        <f aca="false">"95,7072"</f>
        <v>95,7072</v>
      </c>
      <c r="M50" s="45" t="s">
        <v>22</v>
      </c>
    </row>
    <row r="51" customFormat="false" ht="13.2" hidden="false" customHeight="false" outlineLevel="0" collapsed="false">
      <c r="A51" s="45" t="s">
        <v>214</v>
      </c>
      <c r="B51" s="45" t="s">
        <v>215</v>
      </c>
      <c r="C51" s="45" t="s">
        <v>216</v>
      </c>
      <c r="D51" s="45" t="str">
        <f aca="false">"0,6477"</f>
        <v>0,6477</v>
      </c>
      <c r="E51" s="45" t="s">
        <v>14</v>
      </c>
      <c r="F51" s="45" t="s">
        <v>39</v>
      </c>
      <c r="G51" s="46" t="s">
        <v>392</v>
      </c>
      <c r="H51" s="46" t="s">
        <v>393</v>
      </c>
      <c r="I51" s="46" t="s">
        <v>638</v>
      </c>
      <c r="J51" s="55"/>
      <c r="K51" s="47" t="str">
        <f aca="false">"137,5"</f>
        <v>137,5</v>
      </c>
      <c r="L51" s="48" t="str">
        <f aca="false">"89,0519"</f>
        <v>89,0519</v>
      </c>
      <c r="M51" s="45" t="s">
        <v>22</v>
      </c>
    </row>
    <row r="52" customFormat="false" ht="13.2" hidden="false" customHeight="false" outlineLevel="0" collapsed="false">
      <c r="A52" s="45" t="s">
        <v>647</v>
      </c>
      <c r="B52" s="45" t="s">
        <v>423</v>
      </c>
      <c r="C52" s="45" t="s">
        <v>424</v>
      </c>
      <c r="D52" s="45" t="str">
        <f aca="false">"0,6595"</f>
        <v>0,6595</v>
      </c>
      <c r="E52" s="45" t="s">
        <v>14</v>
      </c>
      <c r="F52" s="45" t="s">
        <v>39</v>
      </c>
      <c r="G52" s="55" t="s">
        <v>410</v>
      </c>
      <c r="H52" s="46" t="s">
        <v>410</v>
      </c>
      <c r="I52" s="55" t="s">
        <v>108</v>
      </c>
      <c r="J52" s="55"/>
      <c r="K52" s="47" t="str">
        <f aca="false">"115,0"</f>
        <v>115,0</v>
      </c>
      <c r="L52" s="48" t="str">
        <f aca="false">"75,8425"</f>
        <v>75,8425</v>
      </c>
      <c r="M52" s="45" t="s">
        <v>22</v>
      </c>
    </row>
    <row r="53" customFormat="false" ht="13.2" hidden="false" customHeight="false" outlineLevel="0" collapsed="false">
      <c r="A53" s="45" t="s">
        <v>648</v>
      </c>
      <c r="B53" s="45" t="s">
        <v>649</v>
      </c>
      <c r="C53" s="45" t="s">
        <v>650</v>
      </c>
      <c r="D53" s="45" t="str">
        <f aca="false">"0,6561"</f>
        <v>0,6561</v>
      </c>
      <c r="E53" s="45" t="s">
        <v>14</v>
      </c>
      <c r="F53" s="45" t="s">
        <v>301</v>
      </c>
      <c r="G53" s="46" t="s">
        <v>107</v>
      </c>
      <c r="H53" s="55" t="s">
        <v>401</v>
      </c>
      <c r="I53" s="55" t="s">
        <v>401</v>
      </c>
      <c r="J53" s="55"/>
      <c r="K53" s="47" t="str">
        <f aca="false">"110,0"</f>
        <v>110,0</v>
      </c>
      <c r="L53" s="48" t="str">
        <f aca="false">"72,1765"</f>
        <v>72,1765</v>
      </c>
      <c r="M53" s="45" t="s">
        <v>22</v>
      </c>
    </row>
    <row r="54" customFormat="false" ht="13.2" hidden="false" customHeight="false" outlineLevel="0" collapsed="false">
      <c r="A54" s="45" t="s">
        <v>651</v>
      </c>
      <c r="B54" s="45" t="s">
        <v>652</v>
      </c>
      <c r="C54" s="45" t="s">
        <v>653</v>
      </c>
      <c r="D54" s="45" t="str">
        <f aca="false">"0,6612"</f>
        <v>0,6612</v>
      </c>
      <c r="E54" s="45" t="s">
        <v>14</v>
      </c>
      <c r="F54" s="45" t="s">
        <v>646</v>
      </c>
      <c r="G54" s="46" t="s">
        <v>606</v>
      </c>
      <c r="H54" s="55" t="s">
        <v>593</v>
      </c>
      <c r="I54" s="55" t="s">
        <v>593</v>
      </c>
      <c r="J54" s="55"/>
      <c r="K54" s="47" t="str">
        <f aca="false">"87,5"</f>
        <v>87,5</v>
      </c>
      <c r="L54" s="48" t="str">
        <f aca="false">"57,8550"</f>
        <v>57,8550</v>
      </c>
      <c r="M54" s="45" t="s">
        <v>22</v>
      </c>
    </row>
    <row r="55" customFormat="false" ht="13.2" hidden="false" customHeight="false" outlineLevel="0" collapsed="false">
      <c r="A55" s="45" t="s">
        <v>219</v>
      </c>
      <c r="B55" s="45" t="s">
        <v>654</v>
      </c>
      <c r="C55" s="45" t="s">
        <v>221</v>
      </c>
      <c r="D55" s="45" t="str">
        <f aca="false">"0,6600"</f>
        <v>0,6600</v>
      </c>
      <c r="E55" s="45" t="s">
        <v>14</v>
      </c>
      <c r="F55" s="45" t="s">
        <v>222</v>
      </c>
      <c r="G55" s="46" t="s">
        <v>392</v>
      </c>
      <c r="H55" s="46" t="s">
        <v>123</v>
      </c>
      <c r="I55" s="55" t="s">
        <v>116</v>
      </c>
      <c r="J55" s="55"/>
      <c r="K55" s="47" t="str">
        <f aca="false">"145,0"</f>
        <v>145,0</v>
      </c>
      <c r="L55" s="48" t="str">
        <f aca="false">"95,7072"</f>
        <v>95,7072</v>
      </c>
      <c r="M55" s="45" t="s">
        <v>22</v>
      </c>
    </row>
    <row r="56" customFormat="false" ht="13.2" hidden="false" customHeight="false" outlineLevel="0" collapsed="false">
      <c r="A56" s="21" t="s">
        <v>655</v>
      </c>
      <c r="B56" s="21" t="s">
        <v>656</v>
      </c>
      <c r="C56" s="21" t="s">
        <v>657</v>
      </c>
      <c r="D56" s="21" t="str">
        <f aca="false">"0,6492"</f>
        <v>0,6492</v>
      </c>
      <c r="E56" s="21" t="s">
        <v>14</v>
      </c>
      <c r="F56" s="21" t="s">
        <v>39</v>
      </c>
      <c r="G56" s="20" t="s">
        <v>392</v>
      </c>
      <c r="H56" s="20" t="s">
        <v>393</v>
      </c>
      <c r="I56" s="20" t="s">
        <v>637</v>
      </c>
      <c r="J56" s="31"/>
      <c r="K56" s="19" t="str">
        <f aca="false">"135,0"</f>
        <v>135,0</v>
      </c>
      <c r="L56" s="49" t="str">
        <f aca="false">"87,6487"</f>
        <v>87,6487</v>
      </c>
      <c r="M56" s="21" t="s">
        <v>22</v>
      </c>
    </row>
    <row r="58" customFormat="false" ht="15.6" hidden="false" customHeight="false" outlineLevel="0" collapsed="false">
      <c r="A58" s="15" t="s">
        <v>35</v>
      </c>
      <c r="B58" s="15"/>
      <c r="C58" s="15"/>
      <c r="D58" s="15"/>
      <c r="E58" s="15"/>
      <c r="F58" s="15"/>
      <c r="G58" s="15"/>
      <c r="H58" s="15"/>
      <c r="I58" s="15"/>
      <c r="J58" s="15"/>
    </row>
    <row r="59" customFormat="false" ht="13.2" hidden="false" customHeight="false" outlineLevel="0" collapsed="false">
      <c r="A59" s="18" t="s">
        <v>658</v>
      </c>
      <c r="B59" s="18" t="s">
        <v>659</v>
      </c>
      <c r="C59" s="18" t="s">
        <v>660</v>
      </c>
      <c r="D59" s="18" t="str">
        <f aca="false">"0,6363"</f>
        <v>0,6363</v>
      </c>
      <c r="E59" s="18" t="s">
        <v>14</v>
      </c>
      <c r="F59" s="18" t="s">
        <v>661</v>
      </c>
      <c r="G59" s="17" t="s">
        <v>115</v>
      </c>
      <c r="H59" s="17" t="s">
        <v>662</v>
      </c>
      <c r="I59" s="32" t="s">
        <v>415</v>
      </c>
      <c r="J59" s="32"/>
      <c r="K59" s="16" t="str">
        <f aca="false">"152,5"</f>
        <v>152,5</v>
      </c>
      <c r="L59" s="44" t="str">
        <f aca="false">"97,0358"</f>
        <v>97,0358</v>
      </c>
      <c r="M59" s="18" t="s">
        <v>22</v>
      </c>
    </row>
    <row r="60" customFormat="false" ht="13.2" hidden="false" customHeight="false" outlineLevel="0" collapsed="false">
      <c r="A60" s="45" t="s">
        <v>663</v>
      </c>
      <c r="B60" s="45" t="s">
        <v>664</v>
      </c>
      <c r="C60" s="45" t="s">
        <v>665</v>
      </c>
      <c r="D60" s="45" t="str">
        <f aca="false">"0,6119"</f>
        <v>0,6119</v>
      </c>
      <c r="E60" s="45" t="s">
        <v>14</v>
      </c>
      <c r="F60" s="45" t="s">
        <v>39</v>
      </c>
      <c r="G60" s="55" t="s">
        <v>115</v>
      </c>
      <c r="H60" s="46" t="s">
        <v>115</v>
      </c>
      <c r="I60" s="55" t="s">
        <v>123</v>
      </c>
      <c r="J60" s="55"/>
      <c r="K60" s="47" t="str">
        <f aca="false">"140,0"</f>
        <v>140,0</v>
      </c>
      <c r="L60" s="48" t="str">
        <f aca="false">"85,6590"</f>
        <v>85,6590</v>
      </c>
      <c r="M60" s="45" t="s">
        <v>22</v>
      </c>
    </row>
    <row r="61" customFormat="false" ht="13.2" hidden="false" customHeight="false" outlineLevel="0" collapsed="false">
      <c r="A61" s="45" t="s">
        <v>666</v>
      </c>
      <c r="B61" s="45" t="s">
        <v>667</v>
      </c>
      <c r="C61" s="45" t="s">
        <v>668</v>
      </c>
      <c r="D61" s="45" t="str">
        <f aca="false">"0,6153"</f>
        <v>0,6153</v>
      </c>
      <c r="E61" s="45" t="s">
        <v>14</v>
      </c>
      <c r="F61" s="45" t="s">
        <v>157</v>
      </c>
      <c r="G61" s="46" t="s">
        <v>669</v>
      </c>
      <c r="H61" s="46" t="s">
        <v>421</v>
      </c>
      <c r="I61" s="55" t="s">
        <v>425</v>
      </c>
      <c r="J61" s="55"/>
      <c r="K61" s="47" t="str">
        <f aca="false">"170,0"</f>
        <v>170,0</v>
      </c>
      <c r="L61" s="48" t="str">
        <f aca="false">"104,6010"</f>
        <v>104,6010</v>
      </c>
      <c r="M61" s="45" t="s">
        <v>22</v>
      </c>
    </row>
    <row r="62" customFormat="false" ht="13.2" hidden="false" customHeight="false" outlineLevel="0" collapsed="false">
      <c r="A62" s="45" t="s">
        <v>670</v>
      </c>
      <c r="B62" s="45" t="s">
        <v>671</v>
      </c>
      <c r="C62" s="45" t="s">
        <v>672</v>
      </c>
      <c r="D62" s="45" t="str">
        <f aca="false">"0,6169"</f>
        <v>0,6169</v>
      </c>
      <c r="E62" s="45" t="s">
        <v>14</v>
      </c>
      <c r="F62" s="45" t="s">
        <v>301</v>
      </c>
      <c r="G62" s="46" t="s">
        <v>115</v>
      </c>
      <c r="H62" s="46" t="s">
        <v>397</v>
      </c>
      <c r="I62" s="46" t="s">
        <v>662</v>
      </c>
      <c r="J62" s="55"/>
      <c r="K62" s="47" t="str">
        <f aca="false">"152,5"</f>
        <v>152,5</v>
      </c>
      <c r="L62" s="48" t="str">
        <f aca="false">"94,0696"</f>
        <v>94,0696</v>
      </c>
      <c r="M62" s="45" t="s">
        <v>22</v>
      </c>
    </row>
    <row r="63" customFormat="false" ht="13.2" hidden="false" customHeight="false" outlineLevel="0" collapsed="false">
      <c r="A63" s="45" t="s">
        <v>673</v>
      </c>
      <c r="B63" s="45" t="s">
        <v>674</v>
      </c>
      <c r="C63" s="45" t="s">
        <v>675</v>
      </c>
      <c r="D63" s="45" t="str">
        <f aca="false">"0,6184"</f>
        <v>0,6184</v>
      </c>
      <c r="E63" s="45" t="s">
        <v>14</v>
      </c>
      <c r="F63" s="45" t="s">
        <v>157</v>
      </c>
      <c r="G63" s="46" t="s">
        <v>393</v>
      </c>
      <c r="H63" s="46" t="s">
        <v>637</v>
      </c>
      <c r="I63" s="46" t="s">
        <v>115</v>
      </c>
      <c r="J63" s="55"/>
      <c r="K63" s="47" t="str">
        <f aca="false">"140,0"</f>
        <v>140,0</v>
      </c>
      <c r="L63" s="48" t="str">
        <f aca="false">"86,5830"</f>
        <v>86,5830</v>
      </c>
      <c r="M63" s="45" t="s">
        <v>22</v>
      </c>
    </row>
    <row r="64" customFormat="false" ht="13.2" hidden="false" customHeight="false" outlineLevel="0" collapsed="false">
      <c r="A64" s="45" t="s">
        <v>676</v>
      </c>
      <c r="B64" s="45" t="s">
        <v>677</v>
      </c>
      <c r="C64" s="45" t="s">
        <v>678</v>
      </c>
      <c r="D64" s="45" t="str">
        <f aca="false">"0,6222"</f>
        <v>0,6222</v>
      </c>
      <c r="E64" s="45" t="s">
        <v>14</v>
      </c>
      <c r="F64" s="45" t="s">
        <v>39</v>
      </c>
      <c r="G64" s="46" t="s">
        <v>402</v>
      </c>
      <c r="H64" s="46" t="s">
        <v>109</v>
      </c>
      <c r="I64" s="55" t="s">
        <v>638</v>
      </c>
      <c r="J64" s="55"/>
      <c r="K64" s="47" t="str">
        <f aca="false">"130,0"</f>
        <v>130,0</v>
      </c>
      <c r="L64" s="48" t="str">
        <f aca="false">"80,8795"</f>
        <v>80,8795</v>
      </c>
      <c r="M64" s="45" t="s">
        <v>22</v>
      </c>
    </row>
    <row r="65" customFormat="false" ht="13.2" hidden="false" customHeight="false" outlineLevel="0" collapsed="false">
      <c r="A65" s="45" t="s">
        <v>679</v>
      </c>
      <c r="B65" s="45" t="s">
        <v>680</v>
      </c>
      <c r="C65" s="45" t="s">
        <v>681</v>
      </c>
      <c r="D65" s="45" t="str">
        <f aca="false">"0,6259"</f>
        <v>0,6259</v>
      </c>
      <c r="E65" s="45" t="s">
        <v>14</v>
      </c>
      <c r="F65" s="45" t="s">
        <v>682</v>
      </c>
      <c r="G65" s="55" t="s">
        <v>662</v>
      </c>
      <c r="H65" s="55" t="s">
        <v>662</v>
      </c>
      <c r="I65" s="55" t="s">
        <v>662</v>
      </c>
      <c r="J65" s="55"/>
      <c r="K65" s="47" t="str">
        <f aca="false">"0.00"</f>
        <v>0.00</v>
      </c>
      <c r="L65" s="48" t="str">
        <f aca="false">"0,0000"</f>
        <v>0,0000</v>
      </c>
      <c r="M65" s="45" t="s">
        <v>22</v>
      </c>
    </row>
    <row r="66" customFormat="false" ht="13.2" hidden="false" customHeight="false" outlineLevel="0" collapsed="false">
      <c r="A66" s="21" t="s">
        <v>683</v>
      </c>
      <c r="B66" s="21" t="s">
        <v>684</v>
      </c>
      <c r="C66" s="21" t="s">
        <v>316</v>
      </c>
      <c r="D66" s="21" t="str">
        <f aca="false">"0,6281"</f>
        <v>0,6281</v>
      </c>
      <c r="E66" s="21" t="s">
        <v>14</v>
      </c>
      <c r="F66" s="21" t="s">
        <v>445</v>
      </c>
      <c r="G66" s="20" t="s">
        <v>115</v>
      </c>
      <c r="H66" s="20" t="s">
        <v>123</v>
      </c>
      <c r="I66" s="20" t="s">
        <v>116</v>
      </c>
      <c r="J66" s="31"/>
      <c r="K66" s="19" t="str">
        <f aca="false">"150,0"</f>
        <v>150,0</v>
      </c>
      <c r="L66" s="49" t="str">
        <f aca="false">"94,2150"</f>
        <v>94,2150</v>
      </c>
      <c r="M66" s="21" t="s">
        <v>22</v>
      </c>
    </row>
    <row r="68" customFormat="false" ht="15.6" hidden="false" customHeight="false" outlineLevel="0" collapsed="false">
      <c r="A68" s="15" t="s">
        <v>44</v>
      </c>
      <c r="B68" s="15"/>
      <c r="C68" s="15"/>
      <c r="D68" s="15"/>
      <c r="E68" s="15"/>
      <c r="F68" s="15"/>
      <c r="G68" s="15"/>
      <c r="H68" s="15"/>
      <c r="I68" s="15"/>
      <c r="J68" s="15"/>
    </row>
    <row r="69" customFormat="false" ht="13.2" hidden="false" customHeight="false" outlineLevel="0" collapsed="false">
      <c r="A69" s="18" t="s">
        <v>442</v>
      </c>
      <c r="B69" s="18" t="s">
        <v>443</v>
      </c>
      <c r="C69" s="18" t="s">
        <v>444</v>
      </c>
      <c r="D69" s="18" t="str">
        <f aca="false">"0,5940"</f>
        <v>0,5940</v>
      </c>
      <c r="E69" s="18" t="s">
        <v>14</v>
      </c>
      <c r="F69" s="18" t="s">
        <v>445</v>
      </c>
      <c r="G69" s="32" t="s">
        <v>117</v>
      </c>
      <c r="H69" s="32" t="s">
        <v>669</v>
      </c>
      <c r="I69" s="17" t="s">
        <v>669</v>
      </c>
      <c r="J69" s="32"/>
      <c r="K69" s="16" t="str">
        <f aca="false">"165,0"</f>
        <v>165,0</v>
      </c>
      <c r="L69" s="44" t="str">
        <f aca="false">"98,0100"</f>
        <v>98,0100</v>
      </c>
      <c r="M69" s="18" t="s">
        <v>22</v>
      </c>
    </row>
    <row r="70" customFormat="false" ht="13.2" hidden="false" customHeight="false" outlineLevel="0" collapsed="false">
      <c r="A70" s="45" t="s">
        <v>685</v>
      </c>
      <c r="B70" s="45" t="s">
        <v>686</v>
      </c>
      <c r="C70" s="45" t="s">
        <v>687</v>
      </c>
      <c r="D70" s="45" t="str">
        <f aca="false">"0,5961"</f>
        <v>0,5961</v>
      </c>
      <c r="E70" s="45" t="s">
        <v>14</v>
      </c>
      <c r="F70" s="45" t="s">
        <v>39</v>
      </c>
      <c r="G70" s="46" t="s">
        <v>397</v>
      </c>
      <c r="H70" s="46" t="s">
        <v>662</v>
      </c>
      <c r="I70" s="55" t="s">
        <v>415</v>
      </c>
      <c r="J70" s="55"/>
      <c r="K70" s="47" t="str">
        <f aca="false">"152,5"</f>
        <v>152,5</v>
      </c>
      <c r="L70" s="48" t="str">
        <f aca="false">"90,9129"</f>
        <v>90,9129</v>
      </c>
      <c r="M70" s="45" t="s">
        <v>22</v>
      </c>
    </row>
    <row r="71" customFormat="false" ht="13.2" hidden="false" customHeight="false" outlineLevel="0" collapsed="false">
      <c r="A71" s="45" t="s">
        <v>688</v>
      </c>
      <c r="B71" s="45" t="s">
        <v>689</v>
      </c>
      <c r="C71" s="45" t="s">
        <v>690</v>
      </c>
      <c r="D71" s="45" t="str">
        <f aca="false">"0,5919"</f>
        <v>0,5919</v>
      </c>
      <c r="E71" s="45" t="s">
        <v>14</v>
      </c>
      <c r="F71" s="45" t="s">
        <v>39</v>
      </c>
      <c r="G71" s="46" t="s">
        <v>109</v>
      </c>
      <c r="H71" s="46" t="s">
        <v>115</v>
      </c>
      <c r="I71" s="46" t="s">
        <v>116</v>
      </c>
      <c r="J71" s="55"/>
      <c r="K71" s="47" t="str">
        <f aca="false">"150,0"</f>
        <v>150,0</v>
      </c>
      <c r="L71" s="48" t="str">
        <f aca="false">"88,7925"</f>
        <v>88,7925</v>
      </c>
      <c r="M71" s="45" t="s">
        <v>22</v>
      </c>
    </row>
    <row r="72" customFormat="false" ht="13.2" hidden="false" customHeight="false" outlineLevel="0" collapsed="false">
      <c r="A72" s="21" t="s">
        <v>691</v>
      </c>
      <c r="B72" s="21" t="s">
        <v>692</v>
      </c>
      <c r="C72" s="21" t="s">
        <v>693</v>
      </c>
      <c r="D72" s="21" t="str">
        <f aca="false">"0,5871"</f>
        <v>0,5871</v>
      </c>
      <c r="E72" s="21" t="s">
        <v>14</v>
      </c>
      <c r="F72" s="21" t="s">
        <v>694</v>
      </c>
      <c r="G72" s="20" t="s">
        <v>115</v>
      </c>
      <c r="H72" s="20" t="s">
        <v>116</v>
      </c>
      <c r="I72" s="31" t="s">
        <v>695</v>
      </c>
      <c r="J72" s="31"/>
      <c r="K72" s="19" t="str">
        <f aca="false">"150,0"</f>
        <v>150,0</v>
      </c>
      <c r="L72" s="49" t="str">
        <f aca="false">"88,0725"</f>
        <v>88,0725</v>
      </c>
      <c r="M72" s="21" t="s">
        <v>22</v>
      </c>
    </row>
    <row r="74" customFormat="false" ht="15.6" hidden="false" customHeight="false" outlineLevel="0" collapsed="false">
      <c r="A74" s="15" t="s">
        <v>228</v>
      </c>
      <c r="B74" s="15"/>
      <c r="C74" s="15"/>
      <c r="D74" s="15"/>
      <c r="E74" s="15"/>
      <c r="F74" s="15"/>
      <c r="G74" s="15"/>
      <c r="H74" s="15"/>
      <c r="I74" s="15"/>
      <c r="J74" s="15"/>
    </row>
    <row r="75" customFormat="false" ht="13.2" hidden="false" customHeight="false" outlineLevel="0" collapsed="false">
      <c r="A75" s="18" t="s">
        <v>696</v>
      </c>
      <c r="B75" s="18" t="s">
        <v>697</v>
      </c>
      <c r="C75" s="18" t="s">
        <v>698</v>
      </c>
      <c r="D75" s="18" t="str">
        <f aca="false">"0,5641"</f>
        <v>0,5641</v>
      </c>
      <c r="E75" s="18" t="s">
        <v>531</v>
      </c>
      <c r="F75" s="18" t="s">
        <v>39</v>
      </c>
      <c r="G75" s="17" t="s">
        <v>699</v>
      </c>
      <c r="H75" s="17" t="s">
        <v>425</v>
      </c>
      <c r="I75" s="32" t="s">
        <v>700</v>
      </c>
      <c r="J75" s="32"/>
      <c r="K75" s="16" t="str">
        <f aca="false">"175,0"</f>
        <v>175,0</v>
      </c>
      <c r="L75" s="44" t="str">
        <f aca="false">"98,7088"</f>
        <v>98,7088</v>
      </c>
      <c r="M75" s="18" t="s">
        <v>22</v>
      </c>
    </row>
    <row r="76" customFormat="false" ht="13.2" hidden="false" customHeight="false" outlineLevel="0" collapsed="false">
      <c r="A76" s="45" t="s">
        <v>701</v>
      </c>
      <c r="B76" s="45" t="s">
        <v>702</v>
      </c>
      <c r="C76" s="45" t="s">
        <v>703</v>
      </c>
      <c r="D76" s="45" t="str">
        <f aca="false">"0,5698"</f>
        <v>0,5698</v>
      </c>
      <c r="E76" s="45" t="s">
        <v>14</v>
      </c>
      <c r="F76" s="45" t="s">
        <v>39</v>
      </c>
      <c r="G76" s="46" t="s">
        <v>109</v>
      </c>
      <c r="H76" s="46" t="s">
        <v>115</v>
      </c>
      <c r="I76" s="55" t="s">
        <v>397</v>
      </c>
      <c r="J76" s="55"/>
      <c r="K76" s="47" t="str">
        <f aca="false">"140,0"</f>
        <v>140,0</v>
      </c>
      <c r="L76" s="48" t="str">
        <f aca="false">"79,7650"</f>
        <v>79,7650</v>
      </c>
      <c r="M76" s="45" t="s">
        <v>22</v>
      </c>
    </row>
    <row r="77" customFormat="false" ht="13.2" hidden="false" customHeight="false" outlineLevel="0" collapsed="false">
      <c r="A77" s="45" t="s">
        <v>704</v>
      </c>
      <c r="B77" s="45" t="s">
        <v>705</v>
      </c>
      <c r="C77" s="45" t="s">
        <v>698</v>
      </c>
      <c r="D77" s="45" t="str">
        <f aca="false">"0,5641"</f>
        <v>0,5641</v>
      </c>
      <c r="E77" s="45" t="s">
        <v>14</v>
      </c>
      <c r="F77" s="45" t="s">
        <v>706</v>
      </c>
      <c r="G77" s="46" t="s">
        <v>669</v>
      </c>
      <c r="H77" s="55" t="s">
        <v>421</v>
      </c>
      <c r="I77" s="55" t="s">
        <v>421</v>
      </c>
      <c r="J77" s="55"/>
      <c r="K77" s="47" t="str">
        <f aca="false">"165,0"</f>
        <v>165,0</v>
      </c>
      <c r="L77" s="48" t="str">
        <f aca="false">"97,0702"</f>
        <v>97,0702</v>
      </c>
      <c r="M77" s="45" t="s">
        <v>22</v>
      </c>
    </row>
    <row r="78" customFormat="false" ht="13.2" hidden="false" customHeight="false" outlineLevel="0" collapsed="false">
      <c r="A78" s="45" t="s">
        <v>229</v>
      </c>
      <c r="B78" s="45" t="s">
        <v>707</v>
      </c>
      <c r="C78" s="45" t="s">
        <v>231</v>
      </c>
      <c r="D78" s="45" t="str">
        <f aca="false">"0,5653"</f>
        <v>0,5653</v>
      </c>
      <c r="E78" s="45" t="s">
        <v>14</v>
      </c>
      <c r="F78" s="45" t="s">
        <v>39</v>
      </c>
      <c r="G78" s="55" t="s">
        <v>117</v>
      </c>
      <c r="H78" s="46" t="s">
        <v>117</v>
      </c>
      <c r="I78" s="55" t="s">
        <v>695</v>
      </c>
      <c r="J78" s="55"/>
      <c r="K78" s="47" t="str">
        <f aca="false">"160,0"</f>
        <v>160,0</v>
      </c>
      <c r="L78" s="48" t="str">
        <f aca="false">"103,7439"</f>
        <v>103,7439</v>
      </c>
      <c r="M78" s="45" t="s">
        <v>22</v>
      </c>
    </row>
    <row r="79" customFormat="false" ht="13.2" hidden="false" customHeight="false" outlineLevel="0" collapsed="false">
      <c r="A79" s="21" t="s">
        <v>708</v>
      </c>
      <c r="B79" s="21" t="s">
        <v>709</v>
      </c>
      <c r="C79" s="21" t="s">
        <v>710</v>
      </c>
      <c r="D79" s="21" t="str">
        <f aca="false">"0,5632"</f>
        <v>0,5632</v>
      </c>
      <c r="E79" s="21" t="s">
        <v>431</v>
      </c>
      <c r="F79" s="21" t="s">
        <v>711</v>
      </c>
      <c r="G79" s="20" t="s">
        <v>109</v>
      </c>
      <c r="H79" s="20" t="s">
        <v>637</v>
      </c>
      <c r="I79" s="31"/>
      <c r="J79" s="31"/>
      <c r="K79" s="19" t="str">
        <f aca="false">"135,0"</f>
        <v>135,0</v>
      </c>
      <c r="L79" s="49" t="str">
        <f aca="false">"103,8597"</f>
        <v>103,8597</v>
      </c>
      <c r="M79" s="21" t="s">
        <v>22</v>
      </c>
    </row>
    <row r="81" customFormat="false" ht="15.6" hidden="false" customHeight="false" outlineLevel="0" collapsed="false">
      <c r="A81" s="15" t="s">
        <v>126</v>
      </c>
      <c r="B81" s="15"/>
      <c r="C81" s="15"/>
      <c r="D81" s="15"/>
      <c r="E81" s="15"/>
      <c r="F81" s="15"/>
      <c r="G81" s="15"/>
      <c r="H81" s="15"/>
      <c r="I81" s="15"/>
      <c r="J81" s="15"/>
    </row>
    <row r="82" customFormat="false" ht="13.2" hidden="false" customHeight="false" outlineLevel="0" collapsed="false">
      <c r="A82" s="18" t="s">
        <v>712</v>
      </c>
      <c r="B82" s="18" t="s">
        <v>713</v>
      </c>
      <c r="C82" s="18" t="s">
        <v>714</v>
      </c>
      <c r="D82" s="18" t="str">
        <f aca="false">"0,5487"</f>
        <v>0,5487</v>
      </c>
      <c r="E82" s="18" t="s">
        <v>531</v>
      </c>
      <c r="F82" s="18" t="s">
        <v>39</v>
      </c>
      <c r="G82" s="17" t="s">
        <v>410</v>
      </c>
      <c r="H82" s="32" t="s">
        <v>401</v>
      </c>
      <c r="I82" s="32"/>
      <c r="J82" s="32"/>
      <c r="K82" s="16" t="str">
        <f aca="false">"115,0"</f>
        <v>115,0</v>
      </c>
      <c r="L82" s="44" t="str">
        <f aca="false">"63,0948"</f>
        <v>63,0948</v>
      </c>
      <c r="M82" s="18" t="s">
        <v>22</v>
      </c>
    </row>
    <row r="83" customFormat="false" ht="13.2" hidden="false" customHeight="false" outlineLevel="0" collapsed="false">
      <c r="A83" s="45" t="s">
        <v>461</v>
      </c>
      <c r="B83" s="45" t="s">
        <v>462</v>
      </c>
      <c r="C83" s="45" t="s">
        <v>463</v>
      </c>
      <c r="D83" s="45" t="str">
        <f aca="false">"0,5482"</f>
        <v>0,5482</v>
      </c>
      <c r="E83" s="45" t="s">
        <v>14</v>
      </c>
      <c r="F83" s="45" t="s">
        <v>39</v>
      </c>
      <c r="G83" s="46" t="s">
        <v>715</v>
      </c>
      <c r="H83" s="46" t="s">
        <v>416</v>
      </c>
      <c r="I83" s="46" t="s">
        <v>512</v>
      </c>
      <c r="J83" s="55"/>
      <c r="K83" s="47" t="str">
        <f aca="false">"180,0"</f>
        <v>180,0</v>
      </c>
      <c r="L83" s="48" t="str">
        <f aca="false">"98,6760"</f>
        <v>98,6760</v>
      </c>
      <c r="M83" s="45" t="s">
        <v>22</v>
      </c>
    </row>
    <row r="84" customFormat="false" ht="13.2" hidden="false" customHeight="false" outlineLevel="0" collapsed="false">
      <c r="A84" s="45" t="s">
        <v>716</v>
      </c>
      <c r="B84" s="45" t="s">
        <v>717</v>
      </c>
      <c r="C84" s="45" t="s">
        <v>718</v>
      </c>
      <c r="D84" s="45" t="str">
        <f aca="false">"0,5521"</f>
        <v>0,5521</v>
      </c>
      <c r="E84" s="45" t="s">
        <v>14</v>
      </c>
      <c r="F84" s="45" t="s">
        <v>39</v>
      </c>
      <c r="G84" s="46" t="s">
        <v>719</v>
      </c>
      <c r="H84" s="55" t="s">
        <v>397</v>
      </c>
      <c r="I84" s="55" t="s">
        <v>662</v>
      </c>
      <c r="J84" s="55"/>
      <c r="K84" s="47" t="str">
        <f aca="false">"142,5"</f>
        <v>142,5</v>
      </c>
      <c r="L84" s="48" t="str">
        <f aca="false">"82,0572"</f>
        <v>82,0572</v>
      </c>
      <c r="M84" s="45" t="s">
        <v>22</v>
      </c>
    </row>
    <row r="85" customFormat="false" ht="13.2" hidden="false" customHeight="false" outlineLevel="0" collapsed="false">
      <c r="A85" s="21" t="s">
        <v>720</v>
      </c>
      <c r="B85" s="21" t="s">
        <v>721</v>
      </c>
      <c r="C85" s="21" t="s">
        <v>722</v>
      </c>
      <c r="D85" s="21" t="str">
        <f aca="false">"0,5586"</f>
        <v>0,5586</v>
      </c>
      <c r="E85" s="21" t="s">
        <v>431</v>
      </c>
      <c r="F85" s="21" t="s">
        <v>39</v>
      </c>
      <c r="G85" s="20" t="s">
        <v>421</v>
      </c>
      <c r="H85" s="31" t="s">
        <v>715</v>
      </c>
      <c r="I85" s="31" t="s">
        <v>715</v>
      </c>
      <c r="J85" s="31"/>
      <c r="K85" s="19" t="str">
        <f aca="false">"170,0"</f>
        <v>170,0</v>
      </c>
      <c r="L85" s="49" t="str">
        <f aca="false">"107,2975"</f>
        <v>107,2975</v>
      </c>
      <c r="M85" s="21" t="s">
        <v>22</v>
      </c>
    </row>
    <row r="87" customFormat="false" ht="15.6" hidden="false" customHeight="false" outlineLevel="0" collapsed="false">
      <c r="A87" s="15" t="s">
        <v>329</v>
      </c>
      <c r="B87" s="15"/>
      <c r="C87" s="15"/>
      <c r="D87" s="15"/>
      <c r="E87" s="15"/>
      <c r="F87" s="15"/>
      <c r="G87" s="15"/>
      <c r="H87" s="15"/>
      <c r="I87" s="15"/>
      <c r="J87" s="15"/>
    </row>
    <row r="88" customFormat="false" ht="13.2" hidden="false" customHeight="false" outlineLevel="0" collapsed="false">
      <c r="A88" s="14" t="s">
        <v>723</v>
      </c>
      <c r="B88" s="14" t="s">
        <v>724</v>
      </c>
      <c r="C88" s="14" t="s">
        <v>725</v>
      </c>
      <c r="D88" s="14" t="str">
        <f aca="false">"0,5361"</f>
        <v>0,5361</v>
      </c>
      <c r="E88" s="14" t="s">
        <v>431</v>
      </c>
      <c r="F88" s="14" t="s">
        <v>39</v>
      </c>
      <c r="G88" s="13" t="s">
        <v>715</v>
      </c>
      <c r="H88" s="13" t="s">
        <v>416</v>
      </c>
      <c r="I88" s="13" t="s">
        <v>512</v>
      </c>
      <c r="J88" s="13" t="s">
        <v>726</v>
      </c>
      <c r="K88" s="12" t="str">
        <f aca="false">"180,0"</f>
        <v>180,0</v>
      </c>
      <c r="L88" s="43" t="str">
        <f aca="false">"120,2320"</f>
        <v>120,2320</v>
      </c>
      <c r="M88" s="14" t="s">
        <v>22</v>
      </c>
    </row>
    <row r="90" customFormat="false" ht="15" hidden="false" customHeight="false" outlineLevel="0" collapsed="false">
      <c r="E90" s="23" t="s">
        <v>53</v>
      </c>
    </row>
    <row r="91" customFormat="false" ht="15" hidden="false" customHeight="false" outlineLevel="0" collapsed="false">
      <c r="E91" s="23" t="s">
        <v>54</v>
      </c>
    </row>
    <row r="92" customFormat="false" ht="15" hidden="false" customHeight="false" outlineLevel="0" collapsed="false">
      <c r="E92" s="23" t="s">
        <v>55</v>
      </c>
    </row>
    <row r="93" customFormat="false" ht="15" hidden="false" customHeight="false" outlineLevel="0" collapsed="false">
      <c r="E93" s="23" t="s">
        <v>56</v>
      </c>
    </row>
    <row r="94" customFormat="false" ht="15" hidden="false" customHeight="false" outlineLevel="0" collapsed="false">
      <c r="E94" s="23" t="s">
        <v>56</v>
      </c>
    </row>
    <row r="95" customFormat="false" ht="15" hidden="false" customHeight="false" outlineLevel="0" collapsed="false">
      <c r="E95" s="23" t="s">
        <v>57</v>
      </c>
    </row>
    <row r="96" customFormat="false" ht="15" hidden="false" customHeight="false" outlineLevel="0" collapsed="false">
      <c r="E96" s="23"/>
    </row>
    <row r="98" customFormat="false" ht="17.4" hidden="false" customHeight="false" outlineLevel="0" collapsed="false">
      <c r="A98" s="50" t="s">
        <v>58</v>
      </c>
      <c r="B98" s="50"/>
    </row>
    <row r="99" customFormat="false" ht="15.6" hidden="false" customHeight="false" outlineLevel="0" collapsed="false">
      <c r="A99" s="51" t="s">
        <v>59</v>
      </c>
      <c r="B99" s="51"/>
    </row>
    <row r="100" customFormat="false" ht="14.4" hidden="false" customHeight="false" outlineLevel="0" collapsed="false">
      <c r="A100" s="52"/>
      <c r="B100" s="53" t="s">
        <v>334</v>
      </c>
    </row>
    <row r="101" customFormat="false" ht="13.8" hidden="false" customHeight="false" outlineLevel="0" collapsed="false">
      <c r="A101" s="29" t="s">
        <v>61</v>
      </c>
      <c r="B101" s="29" t="s">
        <v>62</v>
      </c>
      <c r="C101" s="29" t="s">
        <v>63</v>
      </c>
      <c r="D101" s="29" t="s">
        <v>64</v>
      </c>
      <c r="E101" s="29" t="s">
        <v>65</v>
      </c>
    </row>
    <row r="102" customFormat="false" ht="13.2" hidden="false" customHeight="false" outlineLevel="0" collapsed="false">
      <c r="A102" s="54" t="s">
        <v>727</v>
      </c>
      <c r="B102" s="33" t="s">
        <v>336</v>
      </c>
      <c r="C102" s="33" t="s">
        <v>471</v>
      </c>
      <c r="D102" s="33" t="s">
        <v>29</v>
      </c>
      <c r="E102" s="1" t="s">
        <v>728</v>
      </c>
    </row>
    <row r="103" customFormat="false" ht="13.2" hidden="false" customHeight="false" outlineLevel="0" collapsed="false">
      <c r="A103" s="54" t="s">
        <v>335</v>
      </c>
      <c r="B103" s="33" t="s">
        <v>336</v>
      </c>
      <c r="C103" s="33" t="s">
        <v>337</v>
      </c>
      <c r="D103" s="33" t="s">
        <v>28</v>
      </c>
      <c r="E103" s="1" t="s">
        <v>729</v>
      </c>
    </row>
    <row r="104" customFormat="false" ht="13.2" hidden="false" customHeight="false" outlineLevel="0" collapsed="false">
      <c r="A104" s="54" t="s">
        <v>730</v>
      </c>
      <c r="B104" s="33" t="s">
        <v>336</v>
      </c>
      <c r="C104" s="33" t="s">
        <v>237</v>
      </c>
      <c r="D104" s="33" t="s">
        <v>19</v>
      </c>
      <c r="E104" s="1" t="s">
        <v>731</v>
      </c>
    </row>
    <row r="106" customFormat="false" ht="14.4" hidden="false" customHeight="false" outlineLevel="0" collapsed="false">
      <c r="A106" s="52"/>
      <c r="B106" s="53" t="s">
        <v>60</v>
      </c>
    </row>
    <row r="107" customFormat="false" ht="13.8" hidden="false" customHeight="false" outlineLevel="0" collapsed="false">
      <c r="A107" s="29" t="s">
        <v>61</v>
      </c>
      <c r="B107" s="29" t="s">
        <v>62</v>
      </c>
      <c r="C107" s="29" t="s">
        <v>63</v>
      </c>
      <c r="D107" s="29" t="s">
        <v>64</v>
      </c>
      <c r="E107" s="29" t="s">
        <v>65</v>
      </c>
    </row>
    <row r="108" customFormat="false" ht="13.2" hidden="false" customHeight="false" outlineLevel="0" collapsed="false">
      <c r="A108" s="54" t="s">
        <v>232</v>
      </c>
      <c r="B108" s="33" t="s">
        <v>60</v>
      </c>
      <c r="C108" s="33" t="s">
        <v>233</v>
      </c>
      <c r="D108" s="33" t="s">
        <v>101</v>
      </c>
      <c r="E108" s="1" t="s">
        <v>732</v>
      </c>
    </row>
    <row r="109" customFormat="false" ht="13.2" hidden="false" customHeight="false" outlineLevel="0" collapsed="false">
      <c r="A109" s="54" t="s">
        <v>733</v>
      </c>
      <c r="B109" s="33" t="s">
        <v>60</v>
      </c>
      <c r="C109" s="33" t="s">
        <v>734</v>
      </c>
      <c r="D109" s="33" t="s">
        <v>286</v>
      </c>
      <c r="E109" s="1" t="s">
        <v>735</v>
      </c>
    </row>
    <row r="110" customFormat="false" ht="13.2" hidden="false" customHeight="false" outlineLevel="0" collapsed="false">
      <c r="A110" s="54" t="s">
        <v>736</v>
      </c>
      <c r="B110" s="33" t="s">
        <v>60</v>
      </c>
      <c r="C110" s="33" t="s">
        <v>337</v>
      </c>
      <c r="D110" s="33" t="s">
        <v>286</v>
      </c>
      <c r="E110" s="1" t="s">
        <v>737</v>
      </c>
    </row>
    <row r="111" customFormat="false" ht="13.2" hidden="false" customHeight="false" outlineLevel="0" collapsed="false">
      <c r="A111" s="54" t="s">
        <v>738</v>
      </c>
      <c r="B111" s="33" t="s">
        <v>60</v>
      </c>
      <c r="C111" s="33" t="s">
        <v>233</v>
      </c>
      <c r="D111" s="33" t="s">
        <v>581</v>
      </c>
      <c r="E111" s="1" t="s">
        <v>739</v>
      </c>
    </row>
    <row r="113" customFormat="false" ht="14.4" hidden="false" customHeight="false" outlineLevel="0" collapsed="false">
      <c r="A113" s="52"/>
      <c r="B113" s="53" t="s">
        <v>250</v>
      </c>
    </row>
    <row r="114" customFormat="false" ht="13.8" hidden="false" customHeight="false" outlineLevel="0" collapsed="false">
      <c r="A114" s="29" t="s">
        <v>61</v>
      </c>
      <c r="B114" s="29" t="s">
        <v>62</v>
      </c>
      <c r="C114" s="29" t="s">
        <v>63</v>
      </c>
      <c r="D114" s="29" t="s">
        <v>64</v>
      </c>
      <c r="E114" s="29" t="s">
        <v>65</v>
      </c>
    </row>
    <row r="115" customFormat="false" ht="13.2" hidden="false" customHeight="false" outlineLevel="0" collapsed="false">
      <c r="A115" s="54" t="s">
        <v>546</v>
      </c>
      <c r="B115" s="33" t="s">
        <v>378</v>
      </c>
      <c r="C115" s="33" t="s">
        <v>237</v>
      </c>
      <c r="D115" s="33" t="s">
        <v>208</v>
      </c>
      <c r="E115" s="1" t="s">
        <v>740</v>
      </c>
    </row>
    <row r="116" customFormat="false" ht="13.2" hidden="false" customHeight="false" outlineLevel="0" collapsed="false">
      <c r="A116" s="54" t="s">
        <v>136</v>
      </c>
      <c r="B116" s="33" t="s">
        <v>375</v>
      </c>
      <c r="C116" s="33" t="s">
        <v>237</v>
      </c>
      <c r="D116" s="33" t="s">
        <v>99</v>
      </c>
      <c r="E116" s="1" t="s">
        <v>741</v>
      </c>
    </row>
    <row r="119" customFormat="false" ht="15.6" hidden="false" customHeight="false" outlineLevel="0" collapsed="false">
      <c r="A119" s="51" t="s">
        <v>69</v>
      </c>
      <c r="B119" s="51"/>
    </row>
    <row r="120" customFormat="false" ht="14.4" hidden="false" customHeight="false" outlineLevel="0" collapsed="false">
      <c r="A120" s="52"/>
      <c r="B120" s="53" t="s">
        <v>340</v>
      </c>
    </row>
    <row r="121" customFormat="false" ht="13.8" hidden="false" customHeight="false" outlineLevel="0" collapsed="false">
      <c r="A121" s="29" t="s">
        <v>61</v>
      </c>
      <c r="B121" s="29" t="s">
        <v>62</v>
      </c>
      <c r="C121" s="29" t="s">
        <v>63</v>
      </c>
      <c r="D121" s="29" t="s">
        <v>64</v>
      </c>
      <c r="E121" s="29" t="s">
        <v>65</v>
      </c>
    </row>
    <row r="122" customFormat="false" ht="13.2" hidden="false" customHeight="false" outlineLevel="0" collapsed="false">
      <c r="A122" s="54" t="s">
        <v>558</v>
      </c>
      <c r="B122" s="33" t="s">
        <v>549</v>
      </c>
      <c r="C122" s="33" t="s">
        <v>233</v>
      </c>
      <c r="D122" s="33" t="s">
        <v>593</v>
      </c>
      <c r="E122" s="1" t="s">
        <v>742</v>
      </c>
    </row>
    <row r="123" customFormat="false" ht="13.2" hidden="false" customHeight="false" outlineLevel="0" collapsed="false">
      <c r="A123" s="54" t="s">
        <v>743</v>
      </c>
      <c r="B123" s="33" t="s">
        <v>341</v>
      </c>
      <c r="C123" s="33" t="s">
        <v>237</v>
      </c>
      <c r="D123" s="33" t="s">
        <v>401</v>
      </c>
      <c r="E123" s="1" t="s">
        <v>744</v>
      </c>
    </row>
    <row r="124" customFormat="false" ht="13.2" hidden="false" customHeight="false" outlineLevel="0" collapsed="false">
      <c r="A124" s="54" t="s">
        <v>745</v>
      </c>
      <c r="B124" s="33" t="s">
        <v>348</v>
      </c>
      <c r="C124" s="33" t="s">
        <v>244</v>
      </c>
      <c r="D124" s="33" t="s">
        <v>607</v>
      </c>
      <c r="E124" s="1" t="s">
        <v>746</v>
      </c>
    </row>
    <row r="125" customFormat="false" ht="13.2" hidden="false" customHeight="false" outlineLevel="0" collapsed="false">
      <c r="A125" s="54" t="s">
        <v>747</v>
      </c>
      <c r="B125" s="33" t="s">
        <v>549</v>
      </c>
      <c r="C125" s="33" t="s">
        <v>337</v>
      </c>
      <c r="D125" s="33" t="s">
        <v>30</v>
      </c>
      <c r="E125" s="1" t="s">
        <v>748</v>
      </c>
    </row>
    <row r="126" customFormat="false" ht="13.2" hidden="false" customHeight="false" outlineLevel="0" collapsed="false">
      <c r="A126" s="54" t="s">
        <v>749</v>
      </c>
      <c r="B126" s="33" t="s">
        <v>549</v>
      </c>
      <c r="C126" s="33" t="s">
        <v>471</v>
      </c>
      <c r="D126" s="33" t="s">
        <v>16</v>
      </c>
      <c r="E126" s="1" t="s">
        <v>750</v>
      </c>
    </row>
    <row r="128" customFormat="false" ht="14.4" hidden="false" customHeight="false" outlineLevel="0" collapsed="false">
      <c r="A128" s="52"/>
      <c r="B128" s="53" t="s">
        <v>70</v>
      </c>
    </row>
    <row r="129" customFormat="false" ht="13.8" hidden="false" customHeight="false" outlineLevel="0" collapsed="false">
      <c r="A129" s="29" t="s">
        <v>61</v>
      </c>
      <c r="B129" s="29" t="s">
        <v>62</v>
      </c>
      <c r="C129" s="29" t="s">
        <v>63</v>
      </c>
      <c r="D129" s="29" t="s">
        <v>64</v>
      </c>
      <c r="E129" s="29" t="s">
        <v>65</v>
      </c>
    </row>
    <row r="130" customFormat="false" ht="13.2" hidden="false" customHeight="false" outlineLevel="0" collapsed="false">
      <c r="A130" s="54" t="s">
        <v>751</v>
      </c>
      <c r="B130" s="33" t="s">
        <v>336</v>
      </c>
      <c r="C130" s="33" t="s">
        <v>78</v>
      </c>
      <c r="D130" s="33" t="s">
        <v>662</v>
      </c>
      <c r="E130" s="1" t="s">
        <v>752</v>
      </c>
    </row>
    <row r="131" customFormat="false" ht="13.2" hidden="false" customHeight="false" outlineLevel="0" collapsed="false">
      <c r="A131" s="54" t="s">
        <v>753</v>
      </c>
      <c r="B131" s="33" t="s">
        <v>336</v>
      </c>
      <c r="C131" s="33" t="s">
        <v>244</v>
      </c>
      <c r="D131" s="33" t="s">
        <v>123</v>
      </c>
      <c r="E131" s="1" t="s">
        <v>754</v>
      </c>
    </row>
    <row r="132" customFormat="false" ht="13.2" hidden="false" customHeight="false" outlineLevel="0" collapsed="false">
      <c r="A132" s="54" t="s">
        <v>352</v>
      </c>
      <c r="B132" s="33" t="s">
        <v>336</v>
      </c>
      <c r="C132" s="33" t="s">
        <v>237</v>
      </c>
      <c r="D132" s="33" t="s">
        <v>402</v>
      </c>
      <c r="E132" s="1" t="s">
        <v>755</v>
      </c>
    </row>
    <row r="133" customFormat="false" ht="13.2" hidden="false" customHeight="false" outlineLevel="0" collapsed="false">
      <c r="A133" s="54" t="s">
        <v>756</v>
      </c>
      <c r="B133" s="33" t="s">
        <v>336</v>
      </c>
      <c r="C133" s="33" t="s">
        <v>78</v>
      </c>
      <c r="D133" s="33" t="s">
        <v>115</v>
      </c>
      <c r="E133" s="1" t="s">
        <v>757</v>
      </c>
    </row>
    <row r="134" customFormat="false" ht="13.2" hidden="false" customHeight="false" outlineLevel="0" collapsed="false">
      <c r="A134" s="54" t="s">
        <v>758</v>
      </c>
      <c r="B134" s="33" t="s">
        <v>336</v>
      </c>
      <c r="C134" s="33" t="s">
        <v>237</v>
      </c>
      <c r="D134" s="33" t="s">
        <v>108</v>
      </c>
      <c r="E134" s="1" t="s">
        <v>759</v>
      </c>
    </row>
    <row r="135" customFormat="false" ht="13.2" hidden="false" customHeight="false" outlineLevel="0" collapsed="false">
      <c r="A135" s="54" t="s">
        <v>760</v>
      </c>
      <c r="B135" s="33" t="s">
        <v>336</v>
      </c>
      <c r="C135" s="33" t="s">
        <v>237</v>
      </c>
      <c r="D135" s="33" t="s">
        <v>594</v>
      </c>
      <c r="E135" s="1" t="s">
        <v>761</v>
      </c>
    </row>
    <row r="136" customFormat="false" ht="13.2" hidden="false" customHeight="false" outlineLevel="0" collapsed="false">
      <c r="A136" s="54" t="s">
        <v>762</v>
      </c>
      <c r="B136" s="33" t="s">
        <v>336</v>
      </c>
      <c r="C136" s="33" t="s">
        <v>142</v>
      </c>
      <c r="D136" s="33" t="s">
        <v>410</v>
      </c>
      <c r="E136" s="1" t="s">
        <v>763</v>
      </c>
    </row>
    <row r="138" customFormat="false" ht="14.4" hidden="false" customHeight="false" outlineLevel="0" collapsed="false">
      <c r="A138" s="52"/>
      <c r="B138" s="53" t="s">
        <v>60</v>
      </c>
    </row>
    <row r="139" customFormat="false" ht="13.8" hidden="false" customHeight="false" outlineLevel="0" collapsed="false">
      <c r="A139" s="29" t="s">
        <v>61</v>
      </c>
      <c r="B139" s="29" t="s">
        <v>62</v>
      </c>
      <c r="C139" s="29" t="s">
        <v>63</v>
      </c>
      <c r="D139" s="29" t="s">
        <v>64</v>
      </c>
      <c r="E139" s="29" t="s">
        <v>65</v>
      </c>
    </row>
    <row r="140" customFormat="false" ht="13.2" hidden="false" customHeight="false" outlineLevel="0" collapsed="false">
      <c r="A140" s="54" t="s">
        <v>764</v>
      </c>
      <c r="B140" s="33" t="s">
        <v>60</v>
      </c>
      <c r="C140" s="33" t="s">
        <v>78</v>
      </c>
      <c r="D140" s="33" t="s">
        <v>421</v>
      </c>
      <c r="E140" s="1" t="s">
        <v>765</v>
      </c>
    </row>
    <row r="141" customFormat="false" ht="13.2" hidden="false" customHeight="false" outlineLevel="0" collapsed="false">
      <c r="A141" s="54" t="s">
        <v>766</v>
      </c>
      <c r="B141" s="33" t="s">
        <v>60</v>
      </c>
      <c r="C141" s="33" t="s">
        <v>253</v>
      </c>
      <c r="D141" s="33" t="s">
        <v>425</v>
      </c>
      <c r="E141" s="1" t="s">
        <v>767</v>
      </c>
    </row>
    <row r="142" customFormat="false" ht="13.2" hidden="false" customHeight="false" outlineLevel="0" collapsed="false">
      <c r="A142" s="54" t="s">
        <v>483</v>
      </c>
      <c r="B142" s="33" t="s">
        <v>60</v>
      </c>
      <c r="C142" s="33" t="s">
        <v>142</v>
      </c>
      <c r="D142" s="33" t="s">
        <v>512</v>
      </c>
      <c r="E142" s="1" t="s">
        <v>768</v>
      </c>
    </row>
    <row r="143" customFormat="false" ht="13.2" hidden="false" customHeight="false" outlineLevel="0" collapsed="false">
      <c r="A143" s="54" t="s">
        <v>485</v>
      </c>
      <c r="B143" s="33" t="s">
        <v>60</v>
      </c>
      <c r="C143" s="33" t="s">
        <v>72</v>
      </c>
      <c r="D143" s="33" t="s">
        <v>669</v>
      </c>
      <c r="E143" s="1" t="s">
        <v>769</v>
      </c>
    </row>
    <row r="144" customFormat="false" ht="13.2" hidden="false" customHeight="false" outlineLevel="0" collapsed="false">
      <c r="A144" s="54" t="s">
        <v>770</v>
      </c>
      <c r="B144" s="33" t="s">
        <v>60</v>
      </c>
      <c r="C144" s="33" t="s">
        <v>337</v>
      </c>
      <c r="D144" s="33" t="s">
        <v>402</v>
      </c>
      <c r="E144" s="1" t="s">
        <v>771</v>
      </c>
    </row>
    <row r="145" customFormat="false" ht="13.2" hidden="false" customHeight="false" outlineLevel="0" collapsed="false">
      <c r="A145" s="54" t="s">
        <v>772</v>
      </c>
      <c r="B145" s="33" t="s">
        <v>60</v>
      </c>
      <c r="C145" s="33" t="s">
        <v>78</v>
      </c>
      <c r="D145" s="33" t="s">
        <v>662</v>
      </c>
      <c r="E145" s="1" t="s">
        <v>773</v>
      </c>
    </row>
    <row r="146" customFormat="false" ht="13.2" hidden="false" customHeight="false" outlineLevel="0" collapsed="false">
      <c r="A146" s="54" t="s">
        <v>774</v>
      </c>
      <c r="B146" s="33" t="s">
        <v>60</v>
      </c>
      <c r="C146" s="33" t="s">
        <v>237</v>
      </c>
      <c r="D146" s="33" t="s">
        <v>109</v>
      </c>
      <c r="E146" s="1" t="s">
        <v>775</v>
      </c>
    </row>
    <row r="147" customFormat="false" ht="13.2" hidden="false" customHeight="false" outlineLevel="0" collapsed="false">
      <c r="A147" s="54" t="s">
        <v>776</v>
      </c>
      <c r="B147" s="33" t="s">
        <v>60</v>
      </c>
      <c r="C147" s="33" t="s">
        <v>72</v>
      </c>
      <c r="D147" s="33" t="s">
        <v>662</v>
      </c>
      <c r="E147" s="1" t="s">
        <v>777</v>
      </c>
    </row>
    <row r="148" customFormat="false" ht="13.2" hidden="false" customHeight="false" outlineLevel="0" collapsed="false">
      <c r="A148" s="54" t="s">
        <v>243</v>
      </c>
      <c r="B148" s="33" t="s">
        <v>60</v>
      </c>
      <c r="C148" s="33" t="s">
        <v>244</v>
      </c>
      <c r="D148" s="33" t="s">
        <v>638</v>
      </c>
      <c r="E148" s="1" t="s">
        <v>778</v>
      </c>
    </row>
    <row r="149" customFormat="false" ht="13.2" hidden="false" customHeight="false" outlineLevel="0" collapsed="false">
      <c r="A149" s="54" t="s">
        <v>779</v>
      </c>
      <c r="B149" s="33" t="s">
        <v>60</v>
      </c>
      <c r="C149" s="33" t="s">
        <v>72</v>
      </c>
      <c r="D149" s="33" t="s">
        <v>116</v>
      </c>
      <c r="E149" s="1" t="s">
        <v>780</v>
      </c>
    </row>
    <row r="150" customFormat="false" ht="13.2" hidden="false" customHeight="false" outlineLevel="0" collapsed="false">
      <c r="A150" s="54" t="s">
        <v>781</v>
      </c>
      <c r="B150" s="33" t="s">
        <v>60</v>
      </c>
      <c r="C150" s="33" t="s">
        <v>72</v>
      </c>
      <c r="D150" s="33" t="s">
        <v>116</v>
      </c>
      <c r="E150" s="1" t="s">
        <v>782</v>
      </c>
    </row>
    <row r="151" customFormat="false" ht="13.2" hidden="false" customHeight="false" outlineLevel="0" collapsed="false">
      <c r="A151" s="54" t="s">
        <v>783</v>
      </c>
      <c r="B151" s="33" t="s">
        <v>60</v>
      </c>
      <c r="C151" s="33" t="s">
        <v>78</v>
      </c>
      <c r="D151" s="33" t="s">
        <v>115</v>
      </c>
      <c r="E151" s="1" t="s">
        <v>784</v>
      </c>
    </row>
    <row r="152" customFormat="false" ht="13.2" hidden="false" customHeight="false" outlineLevel="0" collapsed="false">
      <c r="A152" s="54" t="s">
        <v>785</v>
      </c>
      <c r="B152" s="33" t="s">
        <v>60</v>
      </c>
      <c r="C152" s="33" t="s">
        <v>237</v>
      </c>
      <c r="D152" s="33" t="s">
        <v>401</v>
      </c>
      <c r="E152" s="1" t="s">
        <v>786</v>
      </c>
    </row>
    <row r="153" customFormat="false" ht="13.2" hidden="false" customHeight="false" outlineLevel="0" collapsed="false">
      <c r="A153" s="54" t="s">
        <v>787</v>
      </c>
      <c r="B153" s="33" t="s">
        <v>60</v>
      </c>
      <c r="C153" s="33" t="s">
        <v>237</v>
      </c>
      <c r="D153" s="33" t="s">
        <v>401</v>
      </c>
      <c r="E153" s="1" t="s">
        <v>788</v>
      </c>
    </row>
    <row r="154" customFormat="false" ht="13.2" hidden="false" customHeight="false" outlineLevel="0" collapsed="false">
      <c r="A154" s="54" t="s">
        <v>789</v>
      </c>
      <c r="B154" s="33" t="s">
        <v>60</v>
      </c>
      <c r="C154" s="33" t="s">
        <v>237</v>
      </c>
      <c r="D154" s="33" t="s">
        <v>401</v>
      </c>
      <c r="E154" s="1" t="s">
        <v>790</v>
      </c>
    </row>
    <row r="155" customFormat="false" ht="13.2" hidden="false" customHeight="false" outlineLevel="0" collapsed="false">
      <c r="A155" s="54" t="s">
        <v>791</v>
      </c>
      <c r="B155" s="33" t="s">
        <v>60</v>
      </c>
      <c r="C155" s="33" t="s">
        <v>78</v>
      </c>
      <c r="D155" s="33" t="s">
        <v>109</v>
      </c>
      <c r="E155" s="1" t="s">
        <v>792</v>
      </c>
    </row>
    <row r="156" customFormat="false" ht="13.2" hidden="false" customHeight="false" outlineLevel="0" collapsed="false">
      <c r="A156" s="54" t="s">
        <v>793</v>
      </c>
      <c r="B156" s="33" t="s">
        <v>60</v>
      </c>
      <c r="C156" s="33" t="s">
        <v>253</v>
      </c>
      <c r="D156" s="33" t="s">
        <v>115</v>
      </c>
      <c r="E156" s="1" t="s">
        <v>794</v>
      </c>
    </row>
    <row r="157" customFormat="false" ht="13.2" hidden="false" customHeight="false" outlineLevel="0" collapsed="false">
      <c r="A157" s="54" t="s">
        <v>489</v>
      </c>
      <c r="B157" s="33" t="s">
        <v>60</v>
      </c>
      <c r="C157" s="33" t="s">
        <v>244</v>
      </c>
      <c r="D157" s="33" t="s">
        <v>410</v>
      </c>
      <c r="E157" s="1" t="s">
        <v>795</v>
      </c>
    </row>
    <row r="158" customFormat="false" ht="13.2" hidden="false" customHeight="false" outlineLevel="0" collapsed="false">
      <c r="A158" s="54" t="s">
        <v>796</v>
      </c>
      <c r="B158" s="33" t="s">
        <v>60</v>
      </c>
      <c r="C158" s="33" t="s">
        <v>337</v>
      </c>
      <c r="D158" s="33" t="s">
        <v>607</v>
      </c>
      <c r="E158" s="1" t="s">
        <v>797</v>
      </c>
    </row>
    <row r="159" customFormat="false" ht="13.2" hidden="false" customHeight="false" outlineLevel="0" collapsed="false">
      <c r="A159" s="54" t="s">
        <v>798</v>
      </c>
      <c r="B159" s="33" t="s">
        <v>60</v>
      </c>
      <c r="C159" s="33" t="s">
        <v>244</v>
      </c>
      <c r="D159" s="33" t="s">
        <v>107</v>
      </c>
      <c r="E159" s="1" t="s">
        <v>799</v>
      </c>
    </row>
    <row r="160" customFormat="false" ht="13.2" hidden="false" customHeight="false" outlineLevel="0" collapsed="false">
      <c r="A160" s="54" t="s">
        <v>800</v>
      </c>
      <c r="B160" s="33" t="s">
        <v>60</v>
      </c>
      <c r="C160" s="33" t="s">
        <v>244</v>
      </c>
      <c r="D160" s="33" t="s">
        <v>606</v>
      </c>
      <c r="E160" s="1" t="s">
        <v>801</v>
      </c>
    </row>
    <row r="162" customFormat="false" ht="14.4" hidden="false" customHeight="false" outlineLevel="0" collapsed="false">
      <c r="A162" s="52"/>
      <c r="B162" s="53" t="s">
        <v>250</v>
      </c>
    </row>
    <row r="163" customFormat="false" ht="13.8" hidden="false" customHeight="false" outlineLevel="0" collapsed="false">
      <c r="A163" s="29" t="s">
        <v>61</v>
      </c>
      <c r="B163" s="29" t="s">
        <v>62</v>
      </c>
      <c r="C163" s="29" t="s">
        <v>63</v>
      </c>
      <c r="D163" s="29" t="s">
        <v>64</v>
      </c>
      <c r="E163" s="29" t="s">
        <v>65</v>
      </c>
    </row>
    <row r="164" customFormat="false" ht="13.2" hidden="false" customHeight="false" outlineLevel="0" collapsed="false">
      <c r="A164" s="54" t="s">
        <v>802</v>
      </c>
      <c r="B164" s="33" t="s">
        <v>373</v>
      </c>
      <c r="C164" s="33" t="s">
        <v>366</v>
      </c>
      <c r="D164" s="33" t="s">
        <v>512</v>
      </c>
      <c r="E164" s="1" t="s">
        <v>803</v>
      </c>
    </row>
    <row r="165" customFormat="false" ht="13.2" hidden="false" customHeight="false" outlineLevel="0" collapsed="false">
      <c r="A165" s="54" t="s">
        <v>774</v>
      </c>
      <c r="B165" s="33" t="s">
        <v>373</v>
      </c>
      <c r="C165" s="33" t="s">
        <v>237</v>
      </c>
      <c r="D165" s="33" t="s">
        <v>109</v>
      </c>
      <c r="E165" s="1" t="s">
        <v>804</v>
      </c>
    </row>
    <row r="166" customFormat="false" ht="13.2" hidden="false" customHeight="false" outlineLevel="0" collapsed="false">
      <c r="A166" s="54" t="s">
        <v>805</v>
      </c>
      <c r="B166" s="33" t="s">
        <v>378</v>
      </c>
      <c r="C166" s="33" t="s">
        <v>142</v>
      </c>
      <c r="D166" s="33" t="s">
        <v>421</v>
      </c>
      <c r="E166" s="1" t="s">
        <v>806</v>
      </c>
    </row>
    <row r="167" customFormat="false" ht="13.2" hidden="false" customHeight="false" outlineLevel="0" collapsed="false">
      <c r="A167" s="54" t="s">
        <v>807</v>
      </c>
      <c r="B167" s="33" t="s">
        <v>808</v>
      </c>
      <c r="C167" s="33" t="s">
        <v>253</v>
      </c>
      <c r="D167" s="33" t="s">
        <v>637</v>
      </c>
      <c r="E167" s="1" t="s">
        <v>809</v>
      </c>
    </row>
    <row r="168" customFormat="false" ht="13.2" hidden="false" customHeight="false" outlineLevel="0" collapsed="false">
      <c r="A168" s="54" t="s">
        <v>251</v>
      </c>
      <c r="B168" s="33" t="s">
        <v>378</v>
      </c>
      <c r="C168" s="33" t="s">
        <v>253</v>
      </c>
      <c r="D168" s="33" t="s">
        <v>117</v>
      </c>
      <c r="E168" s="1" t="s">
        <v>810</v>
      </c>
    </row>
    <row r="169" customFormat="false" ht="13.2" hidden="false" customHeight="false" outlineLevel="0" collapsed="false">
      <c r="A169" s="54" t="s">
        <v>811</v>
      </c>
      <c r="B169" s="33" t="s">
        <v>375</v>
      </c>
      <c r="C169" s="33" t="s">
        <v>253</v>
      </c>
      <c r="D169" s="33" t="s">
        <v>669</v>
      </c>
      <c r="E169" s="1" t="s">
        <v>812</v>
      </c>
    </row>
    <row r="170" customFormat="false" ht="13.2" hidden="false" customHeight="false" outlineLevel="0" collapsed="false">
      <c r="A170" s="54" t="s">
        <v>256</v>
      </c>
      <c r="B170" s="33" t="s">
        <v>375</v>
      </c>
      <c r="C170" s="33" t="s">
        <v>244</v>
      </c>
      <c r="D170" s="33" t="s">
        <v>123</v>
      </c>
      <c r="E170" s="1" t="s">
        <v>754</v>
      </c>
    </row>
    <row r="171" customFormat="false" ht="13.2" hidden="false" customHeight="false" outlineLevel="0" collapsed="false">
      <c r="A171" s="54" t="s">
        <v>813</v>
      </c>
      <c r="B171" s="33" t="s">
        <v>375</v>
      </c>
      <c r="C171" s="33" t="s">
        <v>78</v>
      </c>
      <c r="D171" s="33" t="s">
        <v>116</v>
      </c>
      <c r="E171" s="1" t="s">
        <v>814</v>
      </c>
    </row>
    <row r="172" customFormat="false" ht="13.2" hidden="false" customHeight="false" outlineLevel="0" collapsed="false">
      <c r="A172" s="54" t="s">
        <v>815</v>
      </c>
      <c r="B172" s="33" t="s">
        <v>375</v>
      </c>
      <c r="C172" s="33" t="s">
        <v>237</v>
      </c>
      <c r="D172" s="33" t="s">
        <v>637</v>
      </c>
      <c r="E172" s="1" t="s">
        <v>816</v>
      </c>
    </row>
    <row r="173" customFormat="false" ht="13.2" hidden="false" customHeight="false" outlineLevel="0" collapsed="false">
      <c r="A173" s="54" t="s">
        <v>817</v>
      </c>
      <c r="B173" s="33" t="s">
        <v>375</v>
      </c>
      <c r="C173" s="33" t="s">
        <v>244</v>
      </c>
      <c r="D173" s="33" t="s">
        <v>637</v>
      </c>
      <c r="E173" s="1" t="s">
        <v>818</v>
      </c>
    </row>
    <row r="174" customFormat="false" ht="13.2" hidden="false" customHeight="false" outlineLevel="0" collapsed="false">
      <c r="A174" s="54" t="s">
        <v>819</v>
      </c>
      <c r="B174" s="33" t="s">
        <v>375</v>
      </c>
      <c r="C174" s="33" t="s">
        <v>142</v>
      </c>
      <c r="D174" s="33" t="s">
        <v>719</v>
      </c>
      <c r="E174" s="1" t="s">
        <v>820</v>
      </c>
    </row>
  </sheetData>
  <mergeCells count="26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J5"/>
    <mergeCell ref="A8:J8"/>
    <mergeCell ref="A12:J12"/>
    <mergeCell ref="A16:J16"/>
    <mergeCell ref="A20:J20"/>
    <mergeCell ref="A25:J25"/>
    <mergeCell ref="A28:J28"/>
    <mergeCell ref="A31:J31"/>
    <mergeCell ref="A36:J36"/>
    <mergeCell ref="A48:J48"/>
    <mergeCell ref="A58:J58"/>
    <mergeCell ref="A68:J68"/>
    <mergeCell ref="A74:J74"/>
    <mergeCell ref="A81:J81"/>
    <mergeCell ref="A87:J8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4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109375" defaultRowHeight="13.2" zeroHeight="false" outlineLevelRow="0" outlineLevelCol="0"/>
  <cols>
    <col collapsed="false" customWidth="true" hidden="false" outlineLevel="0" max="1" min="1" style="33" width="24.67"/>
    <col collapsed="false" customWidth="true" hidden="false" outlineLevel="0" max="2" min="2" style="33" width="29.89"/>
    <col collapsed="false" customWidth="true" hidden="false" outlineLevel="0" max="3" min="3" style="33" width="14.88"/>
    <col collapsed="false" customWidth="true" hidden="false" outlineLevel="0" max="4" min="4" style="33" width="8.21"/>
    <col collapsed="false" customWidth="true" hidden="false" outlineLevel="0" max="5" min="5" style="33" width="21.78"/>
    <col collapsed="false" customWidth="true" hidden="false" outlineLevel="0" max="6" min="6" style="33" width="30.1"/>
    <col collapsed="false" customWidth="true" hidden="false" outlineLevel="0" max="9" min="7" style="34" width="5.55"/>
    <col collapsed="false" customWidth="true" hidden="false" outlineLevel="0" max="10" min="10" style="34" width="4.56"/>
    <col collapsed="false" customWidth="true" hidden="false" outlineLevel="0" max="13" min="11" style="34" width="5.55"/>
    <col collapsed="false" customWidth="true" hidden="false" outlineLevel="0" max="14" min="14" style="34" width="4.56"/>
    <col collapsed="false" customWidth="true" hidden="false" outlineLevel="0" max="17" min="15" style="34" width="5.55"/>
    <col collapsed="false" customWidth="true" hidden="false" outlineLevel="0" max="18" min="18" style="34" width="4.56"/>
    <col collapsed="false" customWidth="true" hidden="false" outlineLevel="0" max="19" min="19" style="1" width="7.67"/>
    <col collapsed="false" customWidth="true" hidden="false" outlineLevel="0" max="20" min="20" style="35" width="8.56"/>
    <col collapsed="false" customWidth="true" hidden="false" outlineLevel="0" max="21" min="21" style="33" width="8.33"/>
    <col collapsed="false" customWidth="false" hidden="false" outlineLevel="0" max="1024" min="22" style="34" width="9.11"/>
  </cols>
  <sheetData>
    <row r="1" s="35" customFormat="true" ht="28.95" hidden="false" customHeight="true" outlineLevel="0" collapsed="false">
      <c r="A1" s="36" t="s">
        <v>821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="35" customFormat="true" ht="61.95" hidden="false" customHeight="true" outlineLevel="0" collapsed="false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="9" customFormat="true" ht="12.75" hidden="false" customHeight="true" outlineLevel="0" collapsed="false">
      <c r="A3" s="37" t="s">
        <v>1</v>
      </c>
      <c r="B3" s="38" t="s">
        <v>2</v>
      </c>
      <c r="C3" s="38" t="s">
        <v>186</v>
      </c>
      <c r="D3" s="39" t="s">
        <v>4</v>
      </c>
      <c r="E3" s="39" t="s">
        <v>5</v>
      </c>
      <c r="F3" s="39" t="s">
        <v>6</v>
      </c>
      <c r="G3" s="40" t="s">
        <v>822</v>
      </c>
      <c r="H3" s="40"/>
      <c r="I3" s="40"/>
      <c r="J3" s="40"/>
      <c r="K3" s="40" t="s">
        <v>527</v>
      </c>
      <c r="L3" s="40"/>
      <c r="M3" s="40"/>
      <c r="N3" s="40"/>
      <c r="O3" s="40" t="s">
        <v>386</v>
      </c>
      <c r="P3" s="40"/>
      <c r="Q3" s="40"/>
      <c r="R3" s="40"/>
      <c r="S3" s="39" t="s">
        <v>823</v>
      </c>
      <c r="T3" s="39" t="s">
        <v>189</v>
      </c>
      <c r="U3" s="41" t="s">
        <v>190</v>
      </c>
    </row>
    <row r="4" s="9" customFormat="true" ht="21" hidden="false" customHeight="true" outlineLevel="0" collapsed="false">
      <c r="A4" s="37"/>
      <c r="B4" s="38"/>
      <c r="C4" s="38"/>
      <c r="D4" s="38"/>
      <c r="E4" s="38"/>
      <c r="F4" s="38"/>
      <c r="G4" s="42" t="n">
        <v>1</v>
      </c>
      <c r="H4" s="42" t="n">
        <v>2</v>
      </c>
      <c r="I4" s="42" t="n">
        <v>3</v>
      </c>
      <c r="J4" s="42" t="s">
        <v>265</v>
      </c>
      <c r="K4" s="42" t="n">
        <v>1</v>
      </c>
      <c r="L4" s="42" t="n">
        <v>2</v>
      </c>
      <c r="M4" s="42" t="n">
        <v>3</v>
      </c>
      <c r="N4" s="42" t="s">
        <v>265</v>
      </c>
      <c r="O4" s="42" t="n">
        <v>1</v>
      </c>
      <c r="P4" s="42" t="n">
        <v>2</v>
      </c>
      <c r="Q4" s="42" t="n">
        <v>3</v>
      </c>
      <c r="R4" s="42" t="s">
        <v>265</v>
      </c>
      <c r="S4" s="39"/>
      <c r="T4" s="39"/>
      <c r="U4" s="41"/>
    </row>
    <row r="5" customFormat="false" ht="15.6" hidden="false" customHeight="false" outlineLevel="0" collapsed="false">
      <c r="A5" s="11" t="s">
        <v>199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customFormat="false" ht="13.2" hidden="false" customHeight="false" outlineLevel="0" collapsed="false">
      <c r="A6" s="14" t="s">
        <v>824</v>
      </c>
      <c r="B6" s="14" t="s">
        <v>825</v>
      </c>
      <c r="C6" s="14" t="s">
        <v>826</v>
      </c>
      <c r="D6" s="14" t="str">
        <f aca="false">"0,7189"</f>
        <v>0,7189</v>
      </c>
      <c r="E6" s="14" t="s">
        <v>14</v>
      </c>
      <c r="F6" s="14" t="s">
        <v>39</v>
      </c>
      <c r="G6" s="13" t="s">
        <v>425</v>
      </c>
      <c r="H6" s="13" t="s">
        <v>512</v>
      </c>
      <c r="I6" s="22" t="s">
        <v>426</v>
      </c>
      <c r="J6" s="22"/>
      <c r="K6" s="13" t="s">
        <v>109</v>
      </c>
      <c r="L6" s="13" t="s">
        <v>637</v>
      </c>
      <c r="M6" s="13" t="s">
        <v>115</v>
      </c>
      <c r="N6" s="22"/>
      <c r="O6" s="13" t="s">
        <v>453</v>
      </c>
      <c r="P6" s="13" t="s">
        <v>438</v>
      </c>
      <c r="Q6" s="13" t="s">
        <v>827</v>
      </c>
      <c r="R6" s="22"/>
      <c r="S6" s="12" t="str">
        <f aca="false">"535,0"</f>
        <v>535,0</v>
      </c>
      <c r="T6" s="43" t="str">
        <f aca="false">"384,5848"</f>
        <v>384,5848</v>
      </c>
      <c r="U6" s="14" t="s">
        <v>22</v>
      </c>
    </row>
    <row r="8" customFormat="false" ht="15.6" hidden="false" customHeight="false" outlineLevel="0" collapsed="false">
      <c r="A8" s="15" t="s">
        <v>213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customFormat="false" ht="13.2" hidden="false" customHeight="false" outlineLevel="0" collapsed="false">
      <c r="A9" s="18" t="s">
        <v>828</v>
      </c>
      <c r="B9" s="18" t="s">
        <v>829</v>
      </c>
      <c r="C9" s="18" t="s">
        <v>653</v>
      </c>
      <c r="D9" s="18" t="str">
        <f aca="false">"0,6612"</f>
        <v>0,6612</v>
      </c>
      <c r="E9" s="18" t="s">
        <v>14</v>
      </c>
      <c r="F9" s="18" t="s">
        <v>830</v>
      </c>
      <c r="G9" s="17" t="s">
        <v>109</v>
      </c>
      <c r="H9" s="17" t="s">
        <v>123</v>
      </c>
      <c r="I9" s="32" t="s">
        <v>117</v>
      </c>
      <c r="J9" s="32"/>
      <c r="K9" s="17" t="s">
        <v>31</v>
      </c>
      <c r="L9" s="17" t="s">
        <v>49</v>
      </c>
      <c r="M9" s="32" t="s">
        <v>40</v>
      </c>
      <c r="N9" s="32"/>
      <c r="O9" s="32" t="s">
        <v>426</v>
      </c>
      <c r="P9" s="17" t="s">
        <v>426</v>
      </c>
      <c r="Q9" s="17" t="s">
        <v>427</v>
      </c>
      <c r="R9" s="32"/>
      <c r="S9" s="16" t="str">
        <f aca="false">"420,0"</f>
        <v>420,0</v>
      </c>
      <c r="T9" s="44" t="str">
        <f aca="false">"277,7040"</f>
        <v>277,7040</v>
      </c>
      <c r="U9" s="18" t="s">
        <v>22</v>
      </c>
    </row>
    <row r="10" customFormat="false" ht="13.2" hidden="false" customHeight="false" outlineLevel="0" collapsed="false">
      <c r="A10" s="21" t="s">
        <v>831</v>
      </c>
      <c r="B10" s="21" t="s">
        <v>832</v>
      </c>
      <c r="C10" s="21" t="s">
        <v>833</v>
      </c>
      <c r="D10" s="21" t="str">
        <f aca="false">"0,6513"</f>
        <v>0,6513</v>
      </c>
      <c r="E10" s="21" t="s">
        <v>14</v>
      </c>
      <c r="F10" s="21" t="s">
        <v>39</v>
      </c>
      <c r="G10" s="31" t="s">
        <v>108</v>
      </c>
      <c r="H10" s="20" t="s">
        <v>108</v>
      </c>
      <c r="I10" s="20" t="s">
        <v>115</v>
      </c>
      <c r="J10" s="31"/>
      <c r="K10" s="20" t="s">
        <v>31</v>
      </c>
      <c r="L10" s="20" t="s">
        <v>40</v>
      </c>
      <c r="M10" s="20" t="s">
        <v>41</v>
      </c>
      <c r="N10" s="31"/>
      <c r="O10" s="31" t="s">
        <v>115</v>
      </c>
      <c r="P10" s="31" t="s">
        <v>123</v>
      </c>
      <c r="Q10" s="20" t="s">
        <v>123</v>
      </c>
      <c r="R10" s="31"/>
      <c r="S10" s="19" t="str">
        <f aca="false">"380,0"</f>
        <v>380,0</v>
      </c>
      <c r="T10" s="49" t="str">
        <f aca="false">"247,4940"</f>
        <v>247,4940</v>
      </c>
      <c r="U10" s="21" t="s">
        <v>22</v>
      </c>
    </row>
    <row r="12" customFormat="false" ht="15.6" hidden="false" customHeight="false" outlineLevel="0" collapsed="false">
      <c r="A12" s="15" t="s">
        <v>35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customFormat="false" ht="13.2" hidden="false" customHeight="false" outlineLevel="0" collapsed="false">
      <c r="A13" s="14" t="s">
        <v>834</v>
      </c>
      <c r="B13" s="14" t="s">
        <v>835</v>
      </c>
      <c r="C13" s="14" t="s">
        <v>836</v>
      </c>
      <c r="D13" s="14" t="str">
        <f aca="false">"0,6277"</f>
        <v>0,6277</v>
      </c>
      <c r="E13" s="14" t="s">
        <v>14</v>
      </c>
      <c r="F13" s="14" t="s">
        <v>39</v>
      </c>
      <c r="G13" s="13" t="s">
        <v>50</v>
      </c>
      <c r="H13" s="13" t="s">
        <v>108</v>
      </c>
      <c r="I13" s="13" t="s">
        <v>109</v>
      </c>
      <c r="J13" s="22"/>
      <c r="K13" s="13" t="s">
        <v>50</v>
      </c>
      <c r="L13" s="13" t="s">
        <v>107</v>
      </c>
      <c r="M13" s="13" t="s">
        <v>410</v>
      </c>
      <c r="N13" s="22"/>
      <c r="O13" s="13" t="s">
        <v>109</v>
      </c>
      <c r="P13" s="13" t="s">
        <v>116</v>
      </c>
      <c r="Q13" s="22" t="s">
        <v>669</v>
      </c>
      <c r="R13" s="22"/>
      <c r="S13" s="12" t="str">
        <f aca="false">"395,0"</f>
        <v>395,0</v>
      </c>
      <c r="T13" s="43" t="str">
        <f aca="false">"247,9415"</f>
        <v>247,9415</v>
      </c>
      <c r="U13" s="14" t="s">
        <v>22</v>
      </c>
    </row>
    <row r="15" customFormat="false" ht="15.6" hidden="false" customHeight="false" outlineLevel="0" collapsed="false">
      <c r="A15" s="15" t="s">
        <v>837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customFormat="false" ht="13.2" hidden="false" customHeight="false" outlineLevel="0" collapsed="false">
      <c r="A16" s="14" t="s">
        <v>838</v>
      </c>
      <c r="B16" s="14" t="s">
        <v>839</v>
      </c>
      <c r="C16" s="14" t="s">
        <v>840</v>
      </c>
      <c r="D16" s="14" t="str">
        <f aca="false">"0,5270"</f>
        <v>0,5270</v>
      </c>
      <c r="E16" s="14" t="s">
        <v>14</v>
      </c>
      <c r="F16" s="14" t="s">
        <v>39</v>
      </c>
      <c r="G16" s="13" t="s">
        <v>427</v>
      </c>
      <c r="H16" s="13" t="s">
        <v>452</v>
      </c>
      <c r="I16" s="13" t="s">
        <v>438</v>
      </c>
      <c r="J16" s="22"/>
      <c r="K16" s="13" t="s">
        <v>415</v>
      </c>
      <c r="L16" s="13" t="s">
        <v>669</v>
      </c>
      <c r="M16" s="22" t="s">
        <v>421</v>
      </c>
      <c r="N16" s="22"/>
      <c r="O16" s="13" t="s">
        <v>438</v>
      </c>
      <c r="P16" s="13" t="s">
        <v>132</v>
      </c>
      <c r="Q16" s="13" t="s">
        <v>464</v>
      </c>
      <c r="R16" s="22"/>
      <c r="S16" s="12" t="str">
        <f aca="false">"615,0"</f>
        <v>615,0</v>
      </c>
      <c r="T16" s="43" t="str">
        <f aca="false">"324,1204"</f>
        <v>324,1204</v>
      </c>
      <c r="U16" s="14" t="s">
        <v>22</v>
      </c>
    </row>
    <row r="18" customFormat="false" ht="15" hidden="false" customHeight="false" outlineLevel="0" collapsed="false">
      <c r="E18" s="23" t="s">
        <v>53</v>
      </c>
    </row>
    <row r="19" customFormat="false" ht="15" hidden="false" customHeight="false" outlineLevel="0" collapsed="false">
      <c r="E19" s="23" t="s">
        <v>54</v>
      </c>
    </row>
    <row r="20" customFormat="false" ht="15" hidden="false" customHeight="false" outlineLevel="0" collapsed="false">
      <c r="E20" s="23" t="s">
        <v>55</v>
      </c>
    </row>
    <row r="21" customFormat="false" ht="15" hidden="false" customHeight="false" outlineLevel="0" collapsed="false">
      <c r="E21" s="23" t="s">
        <v>56</v>
      </c>
    </row>
    <row r="22" customFormat="false" ht="15" hidden="false" customHeight="false" outlineLevel="0" collapsed="false">
      <c r="E22" s="23" t="s">
        <v>56</v>
      </c>
    </row>
    <row r="23" customFormat="false" ht="15" hidden="false" customHeight="false" outlineLevel="0" collapsed="false">
      <c r="E23" s="23" t="s">
        <v>57</v>
      </c>
    </row>
    <row r="24" customFormat="false" ht="15" hidden="false" customHeight="false" outlineLevel="0" collapsed="false">
      <c r="E24" s="23"/>
    </row>
    <row r="26" customFormat="false" ht="17.4" hidden="false" customHeight="false" outlineLevel="0" collapsed="false">
      <c r="A26" s="50" t="s">
        <v>58</v>
      </c>
      <c r="B26" s="50"/>
    </row>
    <row r="27" customFormat="false" ht="15.6" hidden="false" customHeight="false" outlineLevel="0" collapsed="false">
      <c r="A27" s="51" t="s">
        <v>69</v>
      </c>
      <c r="B27" s="51"/>
    </row>
    <row r="28" customFormat="false" ht="14.4" hidden="false" customHeight="false" outlineLevel="0" collapsed="false">
      <c r="A28" s="52"/>
      <c r="B28" s="53" t="s">
        <v>70</v>
      </c>
    </row>
    <row r="29" customFormat="false" ht="13.8" hidden="false" customHeight="false" outlineLevel="0" collapsed="false">
      <c r="A29" s="29" t="s">
        <v>61</v>
      </c>
      <c r="B29" s="29" t="s">
        <v>62</v>
      </c>
      <c r="C29" s="29" t="s">
        <v>63</v>
      </c>
      <c r="D29" s="29" t="s">
        <v>841</v>
      </c>
      <c r="E29" s="29" t="s">
        <v>65</v>
      </c>
    </row>
    <row r="30" customFormat="false" ht="13.2" hidden="false" customHeight="false" outlineLevel="0" collapsed="false">
      <c r="A30" s="54" t="s">
        <v>842</v>
      </c>
      <c r="B30" s="33" t="s">
        <v>336</v>
      </c>
      <c r="C30" s="33" t="s">
        <v>244</v>
      </c>
      <c r="D30" s="33" t="s">
        <v>843</v>
      </c>
      <c r="E30" s="1" t="s">
        <v>844</v>
      </c>
    </row>
    <row r="32" customFormat="false" ht="14.4" hidden="false" customHeight="false" outlineLevel="0" collapsed="false">
      <c r="A32" s="52"/>
      <c r="B32" s="53" t="s">
        <v>60</v>
      </c>
    </row>
    <row r="33" customFormat="false" ht="13.8" hidden="false" customHeight="false" outlineLevel="0" collapsed="false">
      <c r="A33" s="29" t="s">
        <v>61</v>
      </c>
      <c r="B33" s="29" t="s">
        <v>62</v>
      </c>
      <c r="C33" s="29" t="s">
        <v>63</v>
      </c>
      <c r="D33" s="29" t="s">
        <v>841</v>
      </c>
      <c r="E33" s="29" t="s">
        <v>65</v>
      </c>
    </row>
    <row r="34" customFormat="false" ht="13.2" hidden="false" customHeight="false" outlineLevel="0" collapsed="false">
      <c r="A34" s="54" t="s">
        <v>845</v>
      </c>
      <c r="B34" s="33" t="s">
        <v>60</v>
      </c>
      <c r="C34" s="33" t="s">
        <v>237</v>
      </c>
      <c r="D34" s="33" t="s">
        <v>846</v>
      </c>
      <c r="E34" s="1" t="s">
        <v>847</v>
      </c>
    </row>
    <row r="35" customFormat="false" ht="13.2" hidden="false" customHeight="false" outlineLevel="0" collapsed="false">
      <c r="A35" s="54" t="s">
        <v>848</v>
      </c>
      <c r="B35" s="33" t="s">
        <v>60</v>
      </c>
      <c r="C35" s="33" t="s">
        <v>849</v>
      </c>
      <c r="D35" s="33" t="s">
        <v>850</v>
      </c>
      <c r="E35" s="1" t="s">
        <v>851</v>
      </c>
    </row>
    <row r="36" customFormat="false" ht="13.2" hidden="false" customHeight="false" outlineLevel="0" collapsed="false">
      <c r="A36" s="54" t="s">
        <v>852</v>
      </c>
      <c r="B36" s="33" t="s">
        <v>60</v>
      </c>
      <c r="C36" s="33" t="s">
        <v>244</v>
      </c>
      <c r="D36" s="33" t="s">
        <v>853</v>
      </c>
      <c r="E36" s="1" t="s">
        <v>854</v>
      </c>
    </row>
    <row r="38" customFormat="false" ht="14.4" hidden="false" customHeight="false" outlineLevel="0" collapsed="false">
      <c r="A38" s="52"/>
      <c r="B38" s="53" t="s">
        <v>250</v>
      </c>
    </row>
    <row r="39" customFormat="false" ht="13.8" hidden="false" customHeight="false" outlineLevel="0" collapsed="false">
      <c r="A39" s="29" t="s">
        <v>61</v>
      </c>
      <c r="B39" s="29" t="s">
        <v>62</v>
      </c>
      <c r="C39" s="29" t="s">
        <v>63</v>
      </c>
      <c r="D39" s="29" t="s">
        <v>841</v>
      </c>
      <c r="E39" s="29" t="s">
        <v>65</v>
      </c>
    </row>
    <row r="40" customFormat="false" ht="13.2" hidden="false" customHeight="false" outlineLevel="0" collapsed="false">
      <c r="A40" s="54" t="s">
        <v>855</v>
      </c>
      <c r="B40" s="33" t="s">
        <v>375</v>
      </c>
      <c r="C40" s="33" t="s">
        <v>78</v>
      </c>
      <c r="D40" s="33" t="s">
        <v>856</v>
      </c>
      <c r="E40" s="1" t="s">
        <v>857</v>
      </c>
    </row>
  </sheetData>
  <mergeCells count="17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R5"/>
    <mergeCell ref="A8:R8"/>
    <mergeCell ref="A12:R12"/>
    <mergeCell ref="A15:R1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109375" defaultRowHeight="13.2" zeroHeight="false" outlineLevelRow="0" outlineLevelCol="0"/>
  <cols>
    <col collapsed="false" customWidth="true" hidden="false" outlineLevel="0" max="1" min="1" style="33" width="24.67"/>
    <col collapsed="false" customWidth="true" hidden="false" outlineLevel="0" max="2" min="2" style="33" width="29.89"/>
    <col collapsed="false" customWidth="true" hidden="false" outlineLevel="0" max="3" min="3" style="33" width="14.88"/>
    <col collapsed="false" customWidth="true" hidden="false" outlineLevel="0" max="4" min="4" style="33" width="8.21"/>
    <col collapsed="false" customWidth="true" hidden="false" outlineLevel="0" max="5" min="5" style="33" width="21.78"/>
    <col collapsed="false" customWidth="true" hidden="false" outlineLevel="0" max="6" min="6" style="33" width="31.44"/>
    <col collapsed="false" customWidth="true" hidden="false" outlineLevel="0" max="9" min="7" style="34" width="5.55"/>
    <col collapsed="false" customWidth="true" hidden="false" outlineLevel="0" max="10" min="10" style="34" width="4.56"/>
    <col collapsed="false" customWidth="true" hidden="false" outlineLevel="0" max="13" min="11" style="34" width="5.55"/>
    <col collapsed="false" customWidth="true" hidden="false" outlineLevel="0" max="14" min="14" style="34" width="4.56"/>
    <col collapsed="false" customWidth="true" hidden="false" outlineLevel="0" max="17" min="15" style="34" width="5.55"/>
    <col collapsed="false" customWidth="true" hidden="false" outlineLevel="0" max="18" min="18" style="34" width="4.56"/>
    <col collapsed="false" customWidth="true" hidden="false" outlineLevel="0" max="19" min="19" style="1" width="7.67"/>
    <col collapsed="false" customWidth="true" hidden="false" outlineLevel="0" max="20" min="20" style="35" width="8.56"/>
    <col collapsed="false" customWidth="true" hidden="false" outlineLevel="0" max="21" min="21" style="33" width="8.33"/>
    <col collapsed="false" customWidth="false" hidden="false" outlineLevel="0" max="1024" min="22" style="34" width="9.11"/>
  </cols>
  <sheetData>
    <row r="1" s="35" customFormat="true" ht="28.95" hidden="false" customHeight="true" outlineLevel="0" collapsed="false">
      <c r="A1" s="36" t="s">
        <v>858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="35" customFormat="true" ht="61.95" hidden="false" customHeight="true" outlineLevel="0" collapsed="false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="9" customFormat="true" ht="12.75" hidden="false" customHeight="true" outlineLevel="0" collapsed="false">
      <c r="A3" s="37" t="s">
        <v>1</v>
      </c>
      <c r="B3" s="38" t="s">
        <v>2</v>
      </c>
      <c r="C3" s="38" t="s">
        <v>186</v>
      </c>
      <c r="D3" s="39" t="s">
        <v>4</v>
      </c>
      <c r="E3" s="39" t="s">
        <v>5</v>
      </c>
      <c r="F3" s="39" t="s">
        <v>6</v>
      </c>
      <c r="G3" s="40" t="s">
        <v>822</v>
      </c>
      <c r="H3" s="40"/>
      <c r="I3" s="40"/>
      <c r="J3" s="40"/>
      <c r="K3" s="40" t="s">
        <v>527</v>
      </c>
      <c r="L3" s="40"/>
      <c r="M3" s="40"/>
      <c r="N3" s="40"/>
      <c r="O3" s="40" t="s">
        <v>386</v>
      </c>
      <c r="P3" s="40"/>
      <c r="Q3" s="40"/>
      <c r="R3" s="40"/>
      <c r="S3" s="39" t="s">
        <v>823</v>
      </c>
      <c r="T3" s="39" t="s">
        <v>189</v>
      </c>
      <c r="U3" s="41" t="s">
        <v>190</v>
      </c>
    </row>
    <row r="4" s="9" customFormat="true" ht="21" hidden="false" customHeight="true" outlineLevel="0" collapsed="false">
      <c r="A4" s="37"/>
      <c r="B4" s="38"/>
      <c r="C4" s="38"/>
      <c r="D4" s="38"/>
      <c r="E4" s="38"/>
      <c r="F4" s="38"/>
      <c r="G4" s="42" t="n">
        <v>1</v>
      </c>
      <c r="H4" s="42" t="n">
        <v>2</v>
      </c>
      <c r="I4" s="42" t="n">
        <v>3</v>
      </c>
      <c r="J4" s="42" t="s">
        <v>265</v>
      </c>
      <c r="K4" s="42" t="n">
        <v>1</v>
      </c>
      <c r="L4" s="42" t="n">
        <v>2</v>
      </c>
      <c r="M4" s="42" t="n">
        <v>3</v>
      </c>
      <c r="N4" s="42" t="s">
        <v>265</v>
      </c>
      <c r="O4" s="42" t="n">
        <v>1</v>
      </c>
      <c r="P4" s="42" t="n">
        <v>2</v>
      </c>
      <c r="Q4" s="42" t="n">
        <v>3</v>
      </c>
      <c r="R4" s="42" t="s">
        <v>265</v>
      </c>
      <c r="S4" s="39"/>
      <c r="T4" s="39"/>
      <c r="U4" s="41"/>
    </row>
    <row r="5" customFormat="false" ht="15.6" hidden="false" customHeight="false" outlineLevel="0" collapsed="false">
      <c r="A5" s="11" t="s">
        <v>387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customFormat="false" ht="13.2" hidden="false" customHeight="false" outlineLevel="0" collapsed="false">
      <c r="A6" s="14" t="s">
        <v>859</v>
      </c>
      <c r="B6" s="14" t="s">
        <v>860</v>
      </c>
      <c r="C6" s="14" t="s">
        <v>576</v>
      </c>
      <c r="D6" s="14" t="str">
        <f aca="false">"1,1230"</f>
        <v>1,1230</v>
      </c>
      <c r="E6" s="14" t="s">
        <v>14</v>
      </c>
      <c r="F6" s="14" t="s">
        <v>39</v>
      </c>
      <c r="G6" s="13" t="s">
        <v>208</v>
      </c>
      <c r="H6" s="22" t="s">
        <v>217</v>
      </c>
      <c r="I6" s="22" t="s">
        <v>217</v>
      </c>
      <c r="J6" s="22"/>
      <c r="K6" s="13" t="s">
        <v>577</v>
      </c>
      <c r="L6" s="13" t="s">
        <v>19</v>
      </c>
      <c r="M6" s="13" t="s">
        <v>28</v>
      </c>
      <c r="N6" s="22"/>
      <c r="O6" s="13" t="s">
        <v>594</v>
      </c>
      <c r="P6" s="22" t="s">
        <v>410</v>
      </c>
      <c r="Q6" s="22"/>
      <c r="R6" s="22"/>
      <c r="S6" s="12" t="str">
        <f aca="false">"230,0"</f>
        <v>230,0</v>
      </c>
      <c r="T6" s="43" t="str">
        <f aca="false">"291,8677"</f>
        <v>291,8677</v>
      </c>
      <c r="U6" s="14" t="s">
        <v>22</v>
      </c>
    </row>
    <row r="8" customFormat="false" ht="15.6" hidden="false" customHeight="false" outlineLevel="0" collapsed="false">
      <c r="A8" s="15" t="s">
        <v>193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customFormat="false" ht="13.2" hidden="false" customHeight="false" outlineLevel="0" collapsed="false">
      <c r="A9" s="14" t="s">
        <v>861</v>
      </c>
      <c r="B9" s="14" t="s">
        <v>862</v>
      </c>
      <c r="C9" s="14" t="s">
        <v>396</v>
      </c>
      <c r="D9" s="14" t="str">
        <f aca="false">"1,0484"</f>
        <v>1,0484</v>
      </c>
      <c r="E9" s="14" t="s">
        <v>14</v>
      </c>
      <c r="F9" s="14" t="s">
        <v>39</v>
      </c>
      <c r="G9" s="13" t="s">
        <v>30</v>
      </c>
      <c r="H9" s="13" t="s">
        <v>208</v>
      </c>
      <c r="I9" s="13" t="s">
        <v>31</v>
      </c>
      <c r="J9" s="22"/>
      <c r="K9" s="22" t="s">
        <v>863</v>
      </c>
      <c r="L9" s="13" t="s">
        <v>863</v>
      </c>
      <c r="M9" s="22" t="s">
        <v>18</v>
      </c>
      <c r="N9" s="22"/>
      <c r="O9" s="13" t="s">
        <v>208</v>
      </c>
      <c r="P9" s="22" t="s">
        <v>31</v>
      </c>
      <c r="Q9" s="22" t="s">
        <v>31</v>
      </c>
      <c r="R9" s="22"/>
      <c r="S9" s="12" t="str">
        <f aca="false">"190,0"</f>
        <v>190,0</v>
      </c>
      <c r="T9" s="43" t="str">
        <f aca="false">"199,1960"</f>
        <v>199,1960</v>
      </c>
      <c r="U9" s="14" t="s">
        <v>22</v>
      </c>
    </row>
    <row r="11" customFormat="false" ht="15.6" hidden="false" customHeight="false" outlineLevel="0" collapsed="false">
      <c r="A11" s="15" t="s">
        <v>266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customFormat="false" ht="13.2" hidden="false" customHeight="false" outlineLevel="0" collapsed="false">
      <c r="A12" s="14" t="s">
        <v>864</v>
      </c>
      <c r="B12" s="14" t="s">
        <v>865</v>
      </c>
      <c r="C12" s="14" t="s">
        <v>866</v>
      </c>
      <c r="D12" s="14" t="str">
        <f aca="false">"0,9156"</f>
        <v>0,9156</v>
      </c>
      <c r="E12" s="14" t="s">
        <v>14</v>
      </c>
      <c r="F12" s="14" t="s">
        <v>39</v>
      </c>
      <c r="G12" s="22" t="s">
        <v>638</v>
      </c>
      <c r="H12" s="13" t="s">
        <v>638</v>
      </c>
      <c r="I12" s="13" t="s">
        <v>397</v>
      </c>
      <c r="J12" s="22"/>
      <c r="K12" s="13" t="s">
        <v>31</v>
      </c>
      <c r="L12" s="13" t="s">
        <v>606</v>
      </c>
      <c r="M12" s="22" t="s">
        <v>40</v>
      </c>
      <c r="N12" s="22"/>
      <c r="O12" s="13" t="s">
        <v>699</v>
      </c>
      <c r="P12" s="13" t="s">
        <v>425</v>
      </c>
      <c r="Q12" s="13" t="s">
        <v>512</v>
      </c>
      <c r="R12" s="22"/>
      <c r="S12" s="12" t="str">
        <f aca="false">"415,0"</f>
        <v>415,0</v>
      </c>
      <c r="T12" s="43" t="str">
        <f aca="false">"379,9740"</f>
        <v>379,9740</v>
      </c>
      <c r="U12" s="14" t="s">
        <v>22</v>
      </c>
    </row>
    <row r="14" customFormat="false" ht="15.6" hidden="false" customHeight="false" outlineLevel="0" collapsed="false">
      <c r="A14" s="15" t="s">
        <v>266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customFormat="false" ht="13.2" hidden="false" customHeight="false" outlineLevel="0" collapsed="false">
      <c r="A15" s="18" t="s">
        <v>867</v>
      </c>
      <c r="B15" s="18" t="s">
        <v>868</v>
      </c>
      <c r="C15" s="18" t="s">
        <v>869</v>
      </c>
      <c r="D15" s="18" t="str">
        <f aca="false">"0,7561"</f>
        <v>0,7561</v>
      </c>
      <c r="E15" s="18" t="s">
        <v>531</v>
      </c>
      <c r="F15" s="18" t="s">
        <v>301</v>
      </c>
      <c r="G15" s="32" t="s">
        <v>109</v>
      </c>
      <c r="H15" s="32" t="s">
        <v>109</v>
      </c>
      <c r="I15" s="32" t="s">
        <v>109</v>
      </c>
      <c r="J15" s="32"/>
      <c r="K15" s="32" t="s">
        <v>40</v>
      </c>
      <c r="L15" s="32"/>
      <c r="M15" s="32"/>
      <c r="N15" s="32"/>
      <c r="O15" s="32" t="s">
        <v>109</v>
      </c>
      <c r="P15" s="32"/>
      <c r="Q15" s="32"/>
      <c r="R15" s="32"/>
      <c r="S15" s="16" t="str">
        <f aca="false">"0.00"</f>
        <v>0.00</v>
      </c>
      <c r="T15" s="44" t="str">
        <f aca="false">"0,0000"</f>
        <v>0,0000</v>
      </c>
      <c r="U15" s="18" t="s">
        <v>22</v>
      </c>
    </row>
    <row r="16" customFormat="false" ht="13.2" hidden="false" customHeight="false" outlineLevel="0" collapsed="false">
      <c r="A16" s="45" t="s">
        <v>870</v>
      </c>
      <c r="B16" s="45" t="s">
        <v>871</v>
      </c>
      <c r="C16" s="45" t="s">
        <v>872</v>
      </c>
      <c r="D16" s="45" t="str">
        <f aca="false">"0,7581"</f>
        <v>0,7581</v>
      </c>
      <c r="E16" s="45" t="s">
        <v>14</v>
      </c>
      <c r="F16" s="45" t="s">
        <v>873</v>
      </c>
      <c r="G16" s="46" t="s">
        <v>50</v>
      </c>
      <c r="H16" s="46" t="s">
        <v>107</v>
      </c>
      <c r="I16" s="55" t="s">
        <v>108</v>
      </c>
      <c r="J16" s="55"/>
      <c r="K16" s="46" t="s">
        <v>50</v>
      </c>
      <c r="L16" s="55" t="s">
        <v>612</v>
      </c>
      <c r="M16" s="55" t="s">
        <v>612</v>
      </c>
      <c r="N16" s="55"/>
      <c r="O16" s="55" t="s">
        <v>108</v>
      </c>
      <c r="P16" s="46" t="s">
        <v>108</v>
      </c>
      <c r="Q16" s="46" t="s">
        <v>116</v>
      </c>
      <c r="R16" s="55"/>
      <c r="S16" s="47" t="str">
        <f aca="false">"360,0"</f>
        <v>360,0</v>
      </c>
      <c r="T16" s="48" t="str">
        <f aca="false">"272,8980"</f>
        <v>272,8980</v>
      </c>
      <c r="U16" s="45" t="s">
        <v>22</v>
      </c>
    </row>
    <row r="17" customFormat="false" ht="13.2" hidden="false" customHeight="false" outlineLevel="0" collapsed="false">
      <c r="A17" s="21" t="s">
        <v>874</v>
      </c>
      <c r="B17" s="21" t="s">
        <v>875</v>
      </c>
      <c r="C17" s="21" t="s">
        <v>408</v>
      </c>
      <c r="D17" s="21" t="str">
        <f aca="false">"0,7600"</f>
        <v>0,7600</v>
      </c>
      <c r="E17" s="21" t="s">
        <v>14</v>
      </c>
      <c r="F17" s="21" t="s">
        <v>39</v>
      </c>
      <c r="G17" s="20" t="s">
        <v>107</v>
      </c>
      <c r="H17" s="31" t="s">
        <v>612</v>
      </c>
      <c r="I17" s="31" t="s">
        <v>612</v>
      </c>
      <c r="J17" s="31"/>
      <c r="K17" s="20" t="s">
        <v>49</v>
      </c>
      <c r="L17" s="20" t="s">
        <v>606</v>
      </c>
      <c r="M17" s="31" t="s">
        <v>40</v>
      </c>
      <c r="N17" s="31"/>
      <c r="O17" s="20" t="s">
        <v>115</v>
      </c>
      <c r="P17" s="20" t="s">
        <v>123</v>
      </c>
      <c r="Q17" s="20" t="s">
        <v>116</v>
      </c>
      <c r="R17" s="31"/>
      <c r="S17" s="19" t="str">
        <f aca="false">"347,5"</f>
        <v>347,5</v>
      </c>
      <c r="T17" s="49" t="str">
        <f aca="false">"264,1000"</f>
        <v>264,1000</v>
      </c>
      <c r="U17" s="21" t="s">
        <v>22</v>
      </c>
    </row>
    <row r="19" customFormat="false" ht="15.6" hidden="false" customHeight="false" outlineLevel="0" collapsed="false">
      <c r="A19" s="15" t="s">
        <v>199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customFormat="false" ht="13.2" hidden="false" customHeight="false" outlineLevel="0" collapsed="false">
      <c r="A20" s="14" t="s">
        <v>876</v>
      </c>
      <c r="B20" s="14" t="s">
        <v>877</v>
      </c>
      <c r="C20" s="14" t="s">
        <v>534</v>
      </c>
      <c r="D20" s="14" t="str">
        <f aca="false">"0,7102"</f>
        <v>0,7102</v>
      </c>
      <c r="E20" s="14" t="s">
        <v>14</v>
      </c>
      <c r="F20" s="14" t="s">
        <v>39</v>
      </c>
      <c r="G20" s="13" t="s">
        <v>393</v>
      </c>
      <c r="H20" s="22" t="s">
        <v>637</v>
      </c>
      <c r="I20" s="13" t="s">
        <v>115</v>
      </c>
      <c r="J20" s="22"/>
      <c r="K20" s="13" t="s">
        <v>101</v>
      </c>
      <c r="L20" s="13" t="s">
        <v>31</v>
      </c>
      <c r="M20" s="22" t="s">
        <v>217</v>
      </c>
      <c r="N20" s="22"/>
      <c r="O20" s="13" t="s">
        <v>415</v>
      </c>
      <c r="P20" s="13" t="s">
        <v>695</v>
      </c>
      <c r="Q20" s="13" t="s">
        <v>699</v>
      </c>
      <c r="R20" s="22"/>
      <c r="S20" s="12" t="str">
        <f aca="false">"387,5"</f>
        <v>387,5</v>
      </c>
      <c r="T20" s="43" t="str">
        <f aca="false">"275,2025"</f>
        <v>275,2025</v>
      </c>
      <c r="U20" s="14" t="s">
        <v>22</v>
      </c>
    </row>
    <row r="22" customFormat="false" ht="15.6" hidden="false" customHeight="false" outlineLevel="0" collapsed="false">
      <c r="A22" s="15" t="s">
        <v>213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customFormat="false" ht="13.2" hidden="false" customHeight="false" outlineLevel="0" collapsed="false">
      <c r="A23" s="14" t="s">
        <v>878</v>
      </c>
      <c r="B23" s="14" t="s">
        <v>879</v>
      </c>
      <c r="C23" s="14" t="s">
        <v>880</v>
      </c>
      <c r="D23" s="14" t="str">
        <f aca="false">"0,6471"</f>
        <v>0,6471</v>
      </c>
      <c r="E23" s="14" t="s">
        <v>14</v>
      </c>
      <c r="F23" s="14" t="s">
        <v>39</v>
      </c>
      <c r="G23" s="22" t="s">
        <v>107</v>
      </c>
      <c r="H23" s="13" t="s">
        <v>410</v>
      </c>
      <c r="I23" s="13" t="s">
        <v>401</v>
      </c>
      <c r="J23" s="22"/>
      <c r="K23" s="13" t="s">
        <v>41</v>
      </c>
      <c r="L23" s="13" t="s">
        <v>607</v>
      </c>
      <c r="M23" s="22" t="s">
        <v>50</v>
      </c>
      <c r="N23" s="22"/>
      <c r="O23" s="13" t="s">
        <v>109</v>
      </c>
      <c r="P23" s="22" t="s">
        <v>637</v>
      </c>
      <c r="Q23" s="22" t="s">
        <v>637</v>
      </c>
      <c r="R23" s="22"/>
      <c r="S23" s="12" t="str">
        <f aca="false">"345,0"</f>
        <v>345,0</v>
      </c>
      <c r="T23" s="43" t="str">
        <f aca="false">"223,2667"</f>
        <v>223,2667</v>
      </c>
      <c r="U23" s="14" t="s">
        <v>22</v>
      </c>
    </row>
    <row r="25" customFormat="false" ht="15.6" hidden="false" customHeight="false" outlineLevel="0" collapsed="false">
      <c r="A25" s="15" t="s">
        <v>35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customFormat="false" ht="13.2" hidden="false" customHeight="false" outlineLevel="0" collapsed="false">
      <c r="A26" s="18" t="s">
        <v>881</v>
      </c>
      <c r="B26" s="18" t="s">
        <v>882</v>
      </c>
      <c r="C26" s="18" t="s">
        <v>883</v>
      </c>
      <c r="D26" s="18" t="str">
        <f aca="false">"0,6149"</f>
        <v>0,6149</v>
      </c>
      <c r="E26" s="18" t="s">
        <v>14</v>
      </c>
      <c r="F26" s="18" t="s">
        <v>39</v>
      </c>
      <c r="G26" s="32" t="s">
        <v>117</v>
      </c>
      <c r="H26" s="17" t="s">
        <v>421</v>
      </c>
      <c r="I26" s="17" t="s">
        <v>512</v>
      </c>
      <c r="J26" s="32"/>
      <c r="K26" s="17" t="s">
        <v>115</v>
      </c>
      <c r="L26" s="17" t="s">
        <v>116</v>
      </c>
      <c r="M26" s="32" t="s">
        <v>117</v>
      </c>
      <c r="N26" s="32"/>
      <c r="O26" s="17" t="s">
        <v>827</v>
      </c>
      <c r="P26" s="17" t="s">
        <v>505</v>
      </c>
      <c r="Q26" s="32" t="s">
        <v>446</v>
      </c>
      <c r="R26" s="32"/>
      <c r="S26" s="16" t="str">
        <f aca="false">"560,0"</f>
        <v>560,0</v>
      </c>
      <c r="T26" s="44" t="str">
        <f aca="false">"344,3440"</f>
        <v>344,3440</v>
      </c>
      <c r="U26" s="18" t="s">
        <v>22</v>
      </c>
    </row>
    <row r="27" customFormat="false" ht="13.2" hidden="false" customHeight="false" outlineLevel="0" collapsed="false">
      <c r="A27" s="45" t="s">
        <v>884</v>
      </c>
      <c r="B27" s="45" t="s">
        <v>885</v>
      </c>
      <c r="C27" s="45" t="s">
        <v>668</v>
      </c>
      <c r="D27" s="45" t="str">
        <f aca="false">"0,6153"</f>
        <v>0,6153</v>
      </c>
      <c r="E27" s="45" t="s">
        <v>14</v>
      </c>
      <c r="F27" s="45" t="s">
        <v>39</v>
      </c>
      <c r="G27" s="46" t="s">
        <v>421</v>
      </c>
      <c r="H27" s="46" t="s">
        <v>427</v>
      </c>
      <c r="I27" s="46" t="s">
        <v>886</v>
      </c>
      <c r="J27" s="55"/>
      <c r="K27" s="46" t="s">
        <v>402</v>
      </c>
      <c r="L27" s="55" t="s">
        <v>115</v>
      </c>
      <c r="M27" s="55" t="s">
        <v>115</v>
      </c>
      <c r="N27" s="55"/>
      <c r="O27" s="46" t="s">
        <v>132</v>
      </c>
      <c r="P27" s="46" t="s">
        <v>464</v>
      </c>
      <c r="Q27" s="46" t="s">
        <v>887</v>
      </c>
      <c r="R27" s="55"/>
      <c r="S27" s="47" t="str">
        <f aca="false">"570,0"</f>
        <v>570,0</v>
      </c>
      <c r="T27" s="48" t="str">
        <f aca="false">"350,7210"</f>
        <v>350,7210</v>
      </c>
      <c r="U27" s="45" t="s">
        <v>22</v>
      </c>
    </row>
    <row r="28" customFormat="false" ht="13.2" hidden="false" customHeight="false" outlineLevel="0" collapsed="false">
      <c r="A28" s="21" t="s">
        <v>888</v>
      </c>
      <c r="B28" s="21" t="s">
        <v>889</v>
      </c>
      <c r="C28" s="21" t="s">
        <v>890</v>
      </c>
      <c r="D28" s="21" t="str">
        <f aca="false">"0,6161"</f>
        <v>0,6161</v>
      </c>
      <c r="E28" s="21" t="s">
        <v>14</v>
      </c>
      <c r="F28" s="21" t="s">
        <v>39</v>
      </c>
      <c r="G28" s="31" t="s">
        <v>41</v>
      </c>
      <c r="H28" s="31" t="s">
        <v>594</v>
      </c>
      <c r="I28" s="20" t="s">
        <v>594</v>
      </c>
      <c r="J28" s="31"/>
      <c r="K28" s="20" t="s">
        <v>40</v>
      </c>
      <c r="L28" s="31" t="s">
        <v>594</v>
      </c>
      <c r="M28" s="31" t="s">
        <v>594</v>
      </c>
      <c r="N28" s="31"/>
      <c r="O28" s="20" t="s">
        <v>108</v>
      </c>
      <c r="P28" s="20" t="s">
        <v>637</v>
      </c>
      <c r="Q28" s="20" t="s">
        <v>116</v>
      </c>
      <c r="R28" s="31"/>
      <c r="S28" s="19" t="str">
        <f aca="false">"345,0"</f>
        <v>345,0</v>
      </c>
      <c r="T28" s="49" t="str">
        <f aca="false">"302,0154"</f>
        <v>302,0154</v>
      </c>
      <c r="U28" s="21" t="s">
        <v>22</v>
      </c>
    </row>
    <row r="30" customFormat="false" ht="15.6" hidden="false" customHeight="false" outlineLevel="0" collapsed="false">
      <c r="A30" s="15" t="s">
        <v>44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customFormat="false" ht="13.2" hidden="false" customHeight="false" outlineLevel="0" collapsed="false">
      <c r="A31" s="14" t="s">
        <v>891</v>
      </c>
      <c r="B31" s="14" t="s">
        <v>892</v>
      </c>
      <c r="C31" s="14" t="s">
        <v>893</v>
      </c>
      <c r="D31" s="14" t="str">
        <f aca="false">"0,5850"</f>
        <v>0,5850</v>
      </c>
      <c r="E31" s="14" t="s">
        <v>14</v>
      </c>
      <c r="F31" s="14" t="s">
        <v>39</v>
      </c>
      <c r="G31" s="13" t="s">
        <v>421</v>
      </c>
      <c r="H31" s="22" t="s">
        <v>512</v>
      </c>
      <c r="I31" s="22" t="s">
        <v>426</v>
      </c>
      <c r="J31" s="22"/>
      <c r="K31" s="13" t="s">
        <v>402</v>
      </c>
      <c r="L31" s="13" t="s">
        <v>109</v>
      </c>
      <c r="M31" s="22" t="s">
        <v>393</v>
      </c>
      <c r="N31" s="22"/>
      <c r="O31" s="13" t="s">
        <v>512</v>
      </c>
      <c r="P31" s="13" t="s">
        <v>427</v>
      </c>
      <c r="Q31" s="13" t="s">
        <v>437</v>
      </c>
      <c r="R31" s="22"/>
      <c r="S31" s="12" t="str">
        <f aca="false">"500,0"</f>
        <v>500,0</v>
      </c>
      <c r="T31" s="43" t="str">
        <f aca="false">"292,5250"</f>
        <v>292,5250</v>
      </c>
      <c r="U31" s="14" t="s">
        <v>22</v>
      </c>
    </row>
    <row r="33" customFormat="false" ht="15.6" hidden="false" customHeight="false" outlineLevel="0" collapsed="false">
      <c r="A33" s="15" t="s">
        <v>126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customFormat="false" ht="13.2" hidden="false" customHeight="false" outlineLevel="0" collapsed="false">
      <c r="A34" s="14" t="s">
        <v>894</v>
      </c>
      <c r="B34" s="14" t="s">
        <v>895</v>
      </c>
      <c r="C34" s="14" t="s">
        <v>896</v>
      </c>
      <c r="D34" s="14" t="str">
        <f aca="false">"0,5508"</f>
        <v>0,5508</v>
      </c>
      <c r="E34" s="14" t="s">
        <v>531</v>
      </c>
      <c r="F34" s="14" t="s">
        <v>39</v>
      </c>
      <c r="G34" s="13" t="s">
        <v>512</v>
      </c>
      <c r="H34" s="22" t="s">
        <v>426</v>
      </c>
      <c r="I34" s="22" t="s">
        <v>426</v>
      </c>
      <c r="J34" s="22"/>
      <c r="K34" s="13" t="s">
        <v>108</v>
      </c>
      <c r="L34" s="13" t="s">
        <v>392</v>
      </c>
      <c r="M34" s="22" t="s">
        <v>637</v>
      </c>
      <c r="N34" s="22"/>
      <c r="O34" s="13" t="s">
        <v>116</v>
      </c>
      <c r="P34" s="22" t="s">
        <v>117</v>
      </c>
      <c r="Q34" s="13" t="s">
        <v>421</v>
      </c>
      <c r="R34" s="22"/>
      <c r="S34" s="12" t="str">
        <f aca="false">"477,5"</f>
        <v>477,5</v>
      </c>
      <c r="T34" s="43" t="str">
        <f aca="false">"263,0309"</f>
        <v>263,0309</v>
      </c>
      <c r="U34" s="14" t="s">
        <v>22</v>
      </c>
    </row>
    <row r="36" customFormat="false" ht="15" hidden="false" customHeight="false" outlineLevel="0" collapsed="false">
      <c r="E36" s="23" t="s">
        <v>53</v>
      </c>
    </row>
    <row r="37" customFormat="false" ht="15" hidden="false" customHeight="false" outlineLevel="0" collapsed="false">
      <c r="E37" s="23" t="s">
        <v>54</v>
      </c>
    </row>
    <row r="38" customFormat="false" ht="15" hidden="false" customHeight="false" outlineLevel="0" collapsed="false">
      <c r="E38" s="23" t="s">
        <v>55</v>
      </c>
    </row>
    <row r="39" customFormat="false" ht="15" hidden="false" customHeight="false" outlineLevel="0" collapsed="false">
      <c r="E39" s="23" t="s">
        <v>56</v>
      </c>
    </row>
    <row r="40" customFormat="false" ht="15" hidden="false" customHeight="false" outlineLevel="0" collapsed="false">
      <c r="E40" s="23" t="s">
        <v>56</v>
      </c>
    </row>
    <row r="41" customFormat="false" ht="15" hidden="false" customHeight="false" outlineLevel="0" collapsed="false">
      <c r="E41" s="23" t="s">
        <v>57</v>
      </c>
    </row>
    <row r="42" customFormat="false" ht="15" hidden="false" customHeight="false" outlineLevel="0" collapsed="false">
      <c r="E42" s="23"/>
    </row>
    <row r="44" customFormat="false" ht="17.4" hidden="false" customHeight="false" outlineLevel="0" collapsed="false">
      <c r="A44" s="50" t="s">
        <v>58</v>
      </c>
      <c r="B44" s="50"/>
    </row>
    <row r="45" customFormat="false" ht="15.6" hidden="false" customHeight="false" outlineLevel="0" collapsed="false">
      <c r="A45" s="51" t="s">
        <v>59</v>
      </c>
      <c r="B45" s="51"/>
    </row>
    <row r="46" customFormat="false" ht="14.4" hidden="false" customHeight="false" outlineLevel="0" collapsed="false">
      <c r="A46" s="52"/>
      <c r="B46" s="53" t="s">
        <v>60</v>
      </c>
    </row>
    <row r="47" customFormat="false" ht="13.8" hidden="false" customHeight="false" outlineLevel="0" collapsed="false">
      <c r="A47" s="29" t="s">
        <v>61</v>
      </c>
      <c r="B47" s="29" t="s">
        <v>62</v>
      </c>
      <c r="C47" s="29" t="s">
        <v>63</v>
      </c>
      <c r="D47" s="29" t="s">
        <v>841</v>
      </c>
      <c r="E47" s="29" t="s">
        <v>65</v>
      </c>
    </row>
    <row r="48" customFormat="false" ht="13.2" hidden="false" customHeight="false" outlineLevel="0" collapsed="false">
      <c r="A48" s="54" t="s">
        <v>897</v>
      </c>
      <c r="B48" s="33" t="s">
        <v>60</v>
      </c>
      <c r="C48" s="33" t="s">
        <v>337</v>
      </c>
      <c r="D48" s="33" t="s">
        <v>898</v>
      </c>
      <c r="E48" s="1" t="s">
        <v>899</v>
      </c>
    </row>
    <row r="50" customFormat="false" ht="14.4" hidden="false" customHeight="false" outlineLevel="0" collapsed="false">
      <c r="A50" s="52"/>
      <c r="B50" s="53" t="s">
        <v>250</v>
      </c>
    </row>
    <row r="51" customFormat="false" ht="13.8" hidden="false" customHeight="false" outlineLevel="0" collapsed="false">
      <c r="A51" s="29" t="s">
        <v>61</v>
      </c>
      <c r="B51" s="29" t="s">
        <v>62</v>
      </c>
      <c r="C51" s="29" t="s">
        <v>63</v>
      </c>
      <c r="D51" s="29" t="s">
        <v>841</v>
      </c>
      <c r="E51" s="29" t="s">
        <v>65</v>
      </c>
    </row>
    <row r="52" customFormat="false" ht="13.2" hidden="false" customHeight="false" outlineLevel="0" collapsed="false">
      <c r="A52" s="54" t="s">
        <v>900</v>
      </c>
      <c r="B52" s="33" t="s">
        <v>378</v>
      </c>
      <c r="C52" s="33" t="s">
        <v>471</v>
      </c>
      <c r="D52" s="33" t="s">
        <v>505</v>
      </c>
      <c r="E52" s="1" t="s">
        <v>901</v>
      </c>
    </row>
    <row r="53" customFormat="false" ht="13.2" hidden="false" customHeight="false" outlineLevel="0" collapsed="false">
      <c r="A53" s="54" t="s">
        <v>902</v>
      </c>
      <c r="B53" s="33" t="s">
        <v>375</v>
      </c>
      <c r="C53" s="33" t="s">
        <v>233</v>
      </c>
      <c r="D53" s="33" t="s">
        <v>427</v>
      </c>
      <c r="E53" s="1" t="s">
        <v>903</v>
      </c>
    </row>
    <row r="56" customFormat="false" ht="15.6" hidden="false" customHeight="false" outlineLevel="0" collapsed="false">
      <c r="A56" s="51" t="s">
        <v>69</v>
      </c>
      <c r="B56" s="51"/>
    </row>
    <row r="57" customFormat="false" ht="14.4" hidden="false" customHeight="false" outlineLevel="0" collapsed="false">
      <c r="A57" s="52"/>
      <c r="B57" s="53" t="s">
        <v>340</v>
      </c>
    </row>
    <row r="58" customFormat="false" ht="13.8" hidden="false" customHeight="false" outlineLevel="0" collapsed="false">
      <c r="A58" s="29" t="s">
        <v>61</v>
      </c>
      <c r="B58" s="29" t="s">
        <v>62</v>
      </c>
      <c r="C58" s="29" t="s">
        <v>63</v>
      </c>
      <c r="D58" s="29" t="s">
        <v>841</v>
      </c>
      <c r="E58" s="29" t="s">
        <v>65</v>
      </c>
    </row>
    <row r="59" customFormat="false" ht="13.2" hidden="false" customHeight="false" outlineLevel="0" collapsed="false">
      <c r="A59" s="54" t="s">
        <v>904</v>
      </c>
      <c r="B59" s="33" t="s">
        <v>348</v>
      </c>
      <c r="C59" s="33" t="s">
        <v>237</v>
      </c>
      <c r="D59" s="33" t="s">
        <v>905</v>
      </c>
      <c r="E59" s="1" t="s">
        <v>906</v>
      </c>
    </row>
    <row r="60" customFormat="false" ht="13.2" hidden="false" customHeight="false" outlineLevel="0" collapsed="false">
      <c r="A60" s="54" t="s">
        <v>907</v>
      </c>
      <c r="B60" s="33" t="s">
        <v>348</v>
      </c>
      <c r="C60" s="33" t="s">
        <v>244</v>
      </c>
      <c r="D60" s="33" t="s">
        <v>908</v>
      </c>
      <c r="E60" s="1" t="s">
        <v>909</v>
      </c>
    </row>
    <row r="62" customFormat="false" ht="14.4" hidden="false" customHeight="false" outlineLevel="0" collapsed="false">
      <c r="A62" s="52"/>
      <c r="B62" s="53" t="s">
        <v>70</v>
      </c>
    </row>
    <row r="63" customFormat="false" ht="13.8" hidden="false" customHeight="false" outlineLevel="0" collapsed="false">
      <c r="A63" s="29" t="s">
        <v>61</v>
      </c>
      <c r="B63" s="29" t="s">
        <v>62</v>
      </c>
      <c r="C63" s="29" t="s">
        <v>63</v>
      </c>
      <c r="D63" s="29" t="s">
        <v>841</v>
      </c>
      <c r="E63" s="29" t="s">
        <v>65</v>
      </c>
    </row>
    <row r="64" customFormat="false" ht="13.2" hidden="false" customHeight="false" outlineLevel="0" collapsed="false">
      <c r="A64" s="54" t="s">
        <v>910</v>
      </c>
      <c r="B64" s="33" t="s">
        <v>336</v>
      </c>
      <c r="C64" s="33" t="s">
        <v>78</v>
      </c>
      <c r="D64" s="33" t="s">
        <v>911</v>
      </c>
      <c r="E64" s="1" t="s">
        <v>912</v>
      </c>
    </row>
    <row r="65" customFormat="false" ht="13.2" hidden="false" customHeight="false" outlineLevel="0" collapsed="false">
      <c r="A65" s="54" t="s">
        <v>913</v>
      </c>
      <c r="B65" s="33" t="s">
        <v>336</v>
      </c>
      <c r="C65" s="33" t="s">
        <v>337</v>
      </c>
      <c r="D65" s="33" t="s">
        <v>914</v>
      </c>
      <c r="E65" s="1" t="s">
        <v>915</v>
      </c>
    </row>
    <row r="67" customFormat="false" ht="14.4" hidden="false" customHeight="false" outlineLevel="0" collapsed="false">
      <c r="A67" s="52"/>
      <c r="B67" s="53" t="s">
        <v>60</v>
      </c>
    </row>
    <row r="68" customFormat="false" ht="13.8" hidden="false" customHeight="false" outlineLevel="0" collapsed="false">
      <c r="A68" s="29" t="s">
        <v>61</v>
      </c>
      <c r="B68" s="29" t="s">
        <v>62</v>
      </c>
      <c r="C68" s="29" t="s">
        <v>63</v>
      </c>
      <c r="D68" s="29" t="s">
        <v>841</v>
      </c>
      <c r="E68" s="29" t="s">
        <v>65</v>
      </c>
    </row>
    <row r="69" customFormat="false" ht="13.2" hidden="false" customHeight="false" outlineLevel="0" collapsed="false">
      <c r="A69" s="54" t="s">
        <v>916</v>
      </c>
      <c r="B69" s="33" t="s">
        <v>60</v>
      </c>
      <c r="C69" s="33" t="s">
        <v>78</v>
      </c>
      <c r="D69" s="33" t="s">
        <v>917</v>
      </c>
      <c r="E69" s="1" t="s">
        <v>918</v>
      </c>
    </row>
    <row r="70" customFormat="false" ht="13.2" hidden="false" customHeight="false" outlineLevel="0" collapsed="false">
      <c r="A70" s="54" t="s">
        <v>919</v>
      </c>
      <c r="B70" s="33" t="s">
        <v>60</v>
      </c>
      <c r="C70" s="33" t="s">
        <v>72</v>
      </c>
      <c r="D70" s="33" t="s">
        <v>920</v>
      </c>
      <c r="E70" s="1" t="s">
        <v>921</v>
      </c>
    </row>
    <row r="71" customFormat="false" ht="13.2" hidden="false" customHeight="false" outlineLevel="0" collapsed="false">
      <c r="A71" s="54" t="s">
        <v>922</v>
      </c>
      <c r="B71" s="33" t="s">
        <v>60</v>
      </c>
      <c r="C71" s="33" t="s">
        <v>337</v>
      </c>
      <c r="D71" s="33" t="s">
        <v>923</v>
      </c>
      <c r="E71" s="1" t="s">
        <v>924</v>
      </c>
    </row>
    <row r="72" customFormat="false" ht="13.2" hidden="false" customHeight="false" outlineLevel="0" collapsed="false">
      <c r="A72" s="54" t="s">
        <v>925</v>
      </c>
      <c r="B72" s="33" t="s">
        <v>60</v>
      </c>
      <c r="C72" s="33" t="s">
        <v>142</v>
      </c>
      <c r="D72" s="33" t="s">
        <v>926</v>
      </c>
      <c r="E72" s="1" t="s">
        <v>927</v>
      </c>
    </row>
    <row r="74" customFormat="false" ht="14.4" hidden="false" customHeight="false" outlineLevel="0" collapsed="false">
      <c r="A74" s="52"/>
      <c r="B74" s="53" t="s">
        <v>250</v>
      </c>
    </row>
    <row r="75" customFormat="false" ht="13.8" hidden="false" customHeight="false" outlineLevel="0" collapsed="false">
      <c r="A75" s="29" t="s">
        <v>61</v>
      </c>
      <c r="B75" s="29" t="s">
        <v>62</v>
      </c>
      <c r="C75" s="29" t="s">
        <v>63</v>
      </c>
      <c r="D75" s="29" t="s">
        <v>841</v>
      </c>
      <c r="E75" s="29" t="s">
        <v>65</v>
      </c>
    </row>
    <row r="76" customFormat="false" ht="13.2" hidden="false" customHeight="false" outlineLevel="0" collapsed="false">
      <c r="A76" s="54" t="s">
        <v>928</v>
      </c>
      <c r="B76" s="33" t="s">
        <v>808</v>
      </c>
      <c r="C76" s="33" t="s">
        <v>78</v>
      </c>
      <c r="D76" s="33" t="s">
        <v>908</v>
      </c>
      <c r="E76" s="1" t="s">
        <v>929</v>
      </c>
    </row>
  </sheetData>
  <mergeCells count="22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R5"/>
    <mergeCell ref="A8:R8"/>
    <mergeCell ref="A11:R11"/>
    <mergeCell ref="A14:R14"/>
    <mergeCell ref="A19:R19"/>
    <mergeCell ref="A22:R22"/>
    <mergeCell ref="A25:R25"/>
    <mergeCell ref="A30:R30"/>
    <mergeCell ref="A33:R3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109375" defaultRowHeight="13.2" zeroHeight="false" outlineLevelRow="0" outlineLevelCol="0"/>
  <cols>
    <col collapsed="false" customWidth="true" hidden="false" outlineLevel="0" max="1" min="1" style="33" width="24.67"/>
    <col collapsed="false" customWidth="true" hidden="false" outlineLevel="0" max="2" min="2" style="33" width="28.99"/>
    <col collapsed="false" customWidth="true" hidden="false" outlineLevel="0" max="3" min="3" style="33" width="14.88"/>
    <col collapsed="false" customWidth="true" hidden="false" outlineLevel="0" max="4" min="4" style="33" width="11.89"/>
    <col collapsed="false" customWidth="true" hidden="false" outlineLevel="0" max="5" min="5" style="33" width="21.78"/>
    <col collapsed="false" customWidth="true" hidden="false" outlineLevel="0" max="6" min="6" style="33" width="24.22"/>
    <col collapsed="false" customWidth="true" hidden="false" outlineLevel="0" max="9" min="7" style="34" width="5.55"/>
    <col collapsed="false" customWidth="true" hidden="false" outlineLevel="0" max="10" min="10" style="34" width="4.56"/>
    <col collapsed="false" customWidth="true" hidden="false" outlineLevel="0" max="11" min="11" style="1" width="7.67"/>
    <col collapsed="false" customWidth="true" hidden="false" outlineLevel="0" max="12" min="12" style="35" width="8.56"/>
    <col collapsed="false" customWidth="true" hidden="false" outlineLevel="0" max="13" min="13" style="33" width="8.33"/>
    <col collapsed="false" customWidth="false" hidden="false" outlineLevel="0" max="1024" min="14" style="34" width="9.11"/>
  </cols>
  <sheetData>
    <row r="1" s="35" customFormat="true" ht="28.95" hidden="false" customHeight="true" outlineLevel="0" collapsed="false">
      <c r="A1" s="36" t="s">
        <v>930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="35" customFormat="true" ht="61.95" hidden="false" customHeight="true" outlineLevel="0" collapsed="false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="9" customFormat="true" ht="12.75" hidden="false" customHeight="true" outlineLevel="0" collapsed="false">
      <c r="A3" s="37" t="s">
        <v>1</v>
      </c>
      <c r="B3" s="38" t="s">
        <v>2</v>
      </c>
      <c r="C3" s="38" t="s">
        <v>186</v>
      </c>
      <c r="D3" s="39" t="s">
        <v>4</v>
      </c>
      <c r="E3" s="39" t="s">
        <v>5</v>
      </c>
      <c r="F3" s="39" t="s">
        <v>6</v>
      </c>
      <c r="G3" s="40" t="s">
        <v>527</v>
      </c>
      <c r="H3" s="40"/>
      <c r="I3" s="40"/>
      <c r="J3" s="40"/>
      <c r="K3" s="39" t="s">
        <v>8</v>
      </c>
      <c r="L3" s="39" t="s">
        <v>189</v>
      </c>
      <c r="M3" s="41" t="s">
        <v>190</v>
      </c>
    </row>
    <row r="4" s="9" customFormat="true" ht="21" hidden="false" customHeight="true" outlineLevel="0" collapsed="false">
      <c r="A4" s="37"/>
      <c r="B4" s="38"/>
      <c r="C4" s="38"/>
      <c r="D4" s="38"/>
      <c r="E4" s="38"/>
      <c r="F4" s="38"/>
      <c r="G4" s="42" t="n">
        <v>1</v>
      </c>
      <c r="H4" s="42" t="n">
        <v>2</v>
      </c>
      <c r="I4" s="42" t="n">
        <v>3</v>
      </c>
      <c r="J4" s="42" t="s">
        <v>265</v>
      </c>
      <c r="K4" s="39"/>
      <c r="L4" s="39"/>
      <c r="M4" s="41"/>
    </row>
    <row r="5" customFormat="false" ht="15.6" hidden="false" customHeight="false" outlineLevel="0" collapsed="false">
      <c r="A5" s="11" t="s">
        <v>266</v>
      </c>
      <c r="B5" s="11"/>
      <c r="C5" s="11"/>
      <c r="D5" s="11"/>
      <c r="E5" s="11"/>
      <c r="F5" s="11"/>
      <c r="G5" s="11"/>
      <c r="H5" s="11"/>
      <c r="I5" s="11"/>
      <c r="J5" s="11"/>
    </row>
    <row r="6" customFormat="false" ht="13.2" hidden="false" customHeight="false" outlineLevel="0" collapsed="false">
      <c r="A6" s="14" t="s">
        <v>931</v>
      </c>
      <c r="B6" s="14" t="s">
        <v>932</v>
      </c>
      <c r="C6" s="14" t="s">
        <v>933</v>
      </c>
      <c r="D6" s="14" t="str">
        <f aca="false">"0,9000"</f>
        <v>0,9000</v>
      </c>
      <c r="E6" s="14" t="s">
        <v>14</v>
      </c>
      <c r="F6" s="14" t="s">
        <v>934</v>
      </c>
      <c r="G6" s="13" t="s">
        <v>109</v>
      </c>
      <c r="H6" s="22" t="s">
        <v>719</v>
      </c>
      <c r="I6" s="22" t="s">
        <v>719</v>
      </c>
      <c r="J6" s="22"/>
      <c r="K6" s="12" t="str">
        <f aca="false">"130,0"</f>
        <v>130,0</v>
      </c>
      <c r="L6" s="43" t="str">
        <f aca="false">"116,9935"</f>
        <v>116,9935</v>
      </c>
      <c r="M6" s="14" t="s">
        <v>22</v>
      </c>
    </row>
    <row r="8" customFormat="false" ht="15.6" hidden="false" customHeight="false" outlineLevel="0" collapsed="false">
      <c r="A8" s="15" t="s">
        <v>44</v>
      </c>
      <c r="B8" s="15"/>
      <c r="C8" s="15"/>
      <c r="D8" s="15"/>
      <c r="E8" s="15"/>
      <c r="F8" s="15"/>
      <c r="G8" s="15"/>
      <c r="H8" s="15"/>
      <c r="I8" s="15"/>
      <c r="J8" s="15"/>
    </row>
    <row r="9" customFormat="false" ht="13.2" hidden="false" customHeight="false" outlineLevel="0" collapsed="false">
      <c r="A9" s="14" t="s">
        <v>935</v>
      </c>
      <c r="B9" s="14" t="s">
        <v>936</v>
      </c>
      <c r="C9" s="14" t="s">
        <v>937</v>
      </c>
      <c r="D9" s="14" t="str">
        <f aca="false">"0,5914"</f>
        <v>0,5914</v>
      </c>
      <c r="E9" s="14" t="s">
        <v>14</v>
      </c>
      <c r="F9" s="14" t="s">
        <v>39</v>
      </c>
      <c r="G9" s="13" t="s">
        <v>448</v>
      </c>
      <c r="H9" s="13" t="s">
        <v>938</v>
      </c>
      <c r="I9" s="13" t="s">
        <v>939</v>
      </c>
      <c r="J9" s="22"/>
      <c r="K9" s="12" t="str">
        <f aca="false">"300,0"</f>
        <v>300,0</v>
      </c>
      <c r="L9" s="43" t="str">
        <f aca="false">"177,4200"</f>
        <v>177,4200</v>
      </c>
      <c r="M9" s="14" t="s">
        <v>22</v>
      </c>
    </row>
    <row r="11" customFormat="false" ht="15" hidden="false" customHeight="false" outlineLevel="0" collapsed="false">
      <c r="E11" s="23" t="s">
        <v>53</v>
      </c>
    </row>
    <row r="12" customFormat="false" ht="15" hidden="false" customHeight="false" outlineLevel="0" collapsed="false">
      <c r="E12" s="23" t="s">
        <v>54</v>
      </c>
    </row>
    <row r="13" customFormat="false" ht="15" hidden="false" customHeight="false" outlineLevel="0" collapsed="false">
      <c r="E13" s="23" t="s">
        <v>55</v>
      </c>
    </row>
    <row r="14" customFormat="false" ht="15" hidden="false" customHeight="false" outlineLevel="0" collapsed="false">
      <c r="E14" s="23" t="s">
        <v>56</v>
      </c>
    </row>
    <row r="15" customFormat="false" ht="15" hidden="false" customHeight="false" outlineLevel="0" collapsed="false">
      <c r="E15" s="23" t="s">
        <v>56</v>
      </c>
    </row>
    <row r="16" customFormat="false" ht="15" hidden="false" customHeight="false" outlineLevel="0" collapsed="false">
      <c r="E16" s="23" t="s">
        <v>57</v>
      </c>
    </row>
    <row r="17" customFormat="false" ht="15" hidden="false" customHeight="false" outlineLevel="0" collapsed="false">
      <c r="E17" s="23"/>
    </row>
    <row r="19" customFormat="false" ht="17.4" hidden="false" customHeight="false" outlineLevel="0" collapsed="false">
      <c r="A19" s="50" t="s">
        <v>58</v>
      </c>
      <c r="B19" s="50"/>
    </row>
    <row r="20" customFormat="false" ht="15.6" hidden="false" customHeight="false" outlineLevel="0" collapsed="false">
      <c r="A20" s="51" t="s">
        <v>59</v>
      </c>
      <c r="B20" s="51"/>
    </row>
    <row r="21" customFormat="false" ht="14.4" hidden="false" customHeight="false" outlineLevel="0" collapsed="false">
      <c r="A21" s="52"/>
      <c r="B21" s="53" t="s">
        <v>467</v>
      </c>
    </row>
    <row r="22" customFormat="false" ht="13.8" hidden="false" customHeight="false" outlineLevel="0" collapsed="false">
      <c r="A22" s="29" t="s">
        <v>61</v>
      </c>
      <c r="B22" s="29" t="s">
        <v>62</v>
      </c>
      <c r="C22" s="29" t="s">
        <v>63</v>
      </c>
      <c r="D22" s="29" t="s">
        <v>64</v>
      </c>
      <c r="E22" s="29" t="s">
        <v>65</v>
      </c>
    </row>
    <row r="23" customFormat="false" ht="13.2" hidden="false" customHeight="false" outlineLevel="0" collapsed="false">
      <c r="A23" s="54" t="s">
        <v>940</v>
      </c>
      <c r="B23" s="33" t="s">
        <v>341</v>
      </c>
      <c r="C23" s="33" t="s">
        <v>337</v>
      </c>
      <c r="D23" s="33" t="s">
        <v>109</v>
      </c>
      <c r="E23" s="1" t="s">
        <v>941</v>
      </c>
    </row>
    <row r="26" customFormat="false" ht="15.6" hidden="false" customHeight="false" outlineLevel="0" collapsed="false">
      <c r="A26" s="51" t="s">
        <v>69</v>
      </c>
      <c r="B26" s="51"/>
    </row>
    <row r="27" customFormat="false" ht="14.4" hidden="false" customHeight="false" outlineLevel="0" collapsed="false">
      <c r="A27" s="52"/>
      <c r="B27" s="53" t="s">
        <v>60</v>
      </c>
    </row>
    <row r="28" customFormat="false" ht="13.8" hidden="false" customHeight="false" outlineLevel="0" collapsed="false">
      <c r="A28" s="29" t="s">
        <v>61</v>
      </c>
      <c r="B28" s="29" t="s">
        <v>62</v>
      </c>
      <c r="C28" s="29" t="s">
        <v>63</v>
      </c>
      <c r="D28" s="29" t="s">
        <v>64</v>
      </c>
      <c r="E28" s="29" t="s">
        <v>65</v>
      </c>
    </row>
    <row r="29" customFormat="false" ht="13.2" hidden="false" customHeight="false" outlineLevel="0" collapsed="false">
      <c r="A29" s="54" t="s">
        <v>942</v>
      </c>
      <c r="B29" s="33" t="s">
        <v>60</v>
      </c>
      <c r="C29" s="33" t="s">
        <v>72</v>
      </c>
      <c r="D29" s="33" t="s">
        <v>939</v>
      </c>
      <c r="E29" s="1" t="s">
        <v>943</v>
      </c>
    </row>
  </sheetData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J5"/>
    <mergeCell ref="A8:J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109375" defaultRowHeight="13.2" zeroHeight="false" outlineLevelRow="0" outlineLevelCol="0"/>
  <cols>
    <col collapsed="false" customWidth="true" hidden="false" outlineLevel="0" max="1" min="1" style="33" width="24.67"/>
    <col collapsed="false" customWidth="true" hidden="false" outlineLevel="0" max="2" min="2" style="33" width="27.66"/>
    <col collapsed="false" customWidth="true" hidden="false" outlineLevel="0" max="3" min="3" style="33" width="14.88"/>
    <col collapsed="false" customWidth="true" hidden="false" outlineLevel="0" max="4" min="4" style="33" width="11.89"/>
    <col collapsed="false" customWidth="true" hidden="false" outlineLevel="0" max="5" min="5" style="33" width="21.78"/>
    <col collapsed="false" customWidth="true" hidden="false" outlineLevel="0" max="6" min="6" style="33" width="35.89"/>
    <col collapsed="false" customWidth="true" hidden="false" outlineLevel="0" max="10" min="7" style="34" width="4.56"/>
    <col collapsed="false" customWidth="true" hidden="false" outlineLevel="0" max="11" min="11" style="1" width="7.67"/>
    <col collapsed="false" customWidth="true" hidden="false" outlineLevel="0" max="12" min="12" style="35" width="7.56"/>
    <col collapsed="false" customWidth="true" hidden="false" outlineLevel="0" max="13" min="13" style="33" width="14.55"/>
    <col collapsed="false" customWidth="false" hidden="false" outlineLevel="0" max="1024" min="14" style="34" width="9.11"/>
  </cols>
  <sheetData>
    <row r="1" s="35" customFormat="true" ht="28.95" hidden="false" customHeight="true" outlineLevel="0" collapsed="false">
      <c r="A1" s="36" t="s">
        <v>944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="35" customFormat="true" ht="61.95" hidden="false" customHeight="true" outlineLevel="0" collapsed="false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="9" customFormat="true" ht="12.75" hidden="false" customHeight="true" outlineLevel="0" collapsed="false">
      <c r="A3" s="37" t="s">
        <v>1</v>
      </c>
      <c r="B3" s="38" t="s">
        <v>2</v>
      </c>
      <c r="C3" s="38" t="s">
        <v>186</v>
      </c>
      <c r="D3" s="39" t="s">
        <v>4</v>
      </c>
      <c r="E3" s="39" t="s">
        <v>5</v>
      </c>
      <c r="F3" s="39" t="s">
        <v>6</v>
      </c>
      <c r="G3" s="40" t="s">
        <v>527</v>
      </c>
      <c r="H3" s="40"/>
      <c r="I3" s="40"/>
      <c r="J3" s="40"/>
      <c r="K3" s="39" t="s">
        <v>8</v>
      </c>
      <c r="L3" s="39" t="s">
        <v>189</v>
      </c>
      <c r="M3" s="41" t="s">
        <v>190</v>
      </c>
    </row>
    <row r="4" s="9" customFormat="true" ht="21" hidden="false" customHeight="true" outlineLevel="0" collapsed="false">
      <c r="A4" s="37"/>
      <c r="B4" s="38"/>
      <c r="C4" s="38"/>
      <c r="D4" s="38"/>
      <c r="E4" s="38"/>
      <c r="F4" s="38"/>
      <c r="G4" s="42" t="n">
        <v>1</v>
      </c>
      <c r="H4" s="42" t="n">
        <v>2</v>
      </c>
      <c r="I4" s="42" t="n">
        <v>3</v>
      </c>
      <c r="J4" s="42" t="s">
        <v>265</v>
      </c>
      <c r="K4" s="39"/>
      <c r="L4" s="39"/>
      <c r="M4" s="41"/>
    </row>
    <row r="5" customFormat="false" ht="15.6" hidden="false" customHeight="false" outlineLevel="0" collapsed="false">
      <c r="A5" s="11" t="s">
        <v>271</v>
      </c>
      <c r="B5" s="11"/>
      <c r="C5" s="11"/>
      <c r="D5" s="11"/>
      <c r="E5" s="11"/>
      <c r="F5" s="11"/>
      <c r="G5" s="11"/>
      <c r="H5" s="11"/>
      <c r="I5" s="11"/>
      <c r="J5" s="11"/>
    </row>
    <row r="6" customFormat="false" ht="13.2" hidden="false" customHeight="false" outlineLevel="0" collapsed="false">
      <c r="A6" s="14" t="s">
        <v>945</v>
      </c>
      <c r="B6" s="14" t="s">
        <v>946</v>
      </c>
      <c r="C6" s="14" t="s">
        <v>947</v>
      </c>
      <c r="D6" s="14" t="str">
        <f aca="false">"0,8467"</f>
        <v>0,8467</v>
      </c>
      <c r="E6" s="14" t="s">
        <v>14</v>
      </c>
      <c r="F6" s="14" t="s">
        <v>557</v>
      </c>
      <c r="G6" s="13" t="s">
        <v>606</v>
      </c>
      <c r="H6" s="22" t="s">
        <v>948</v>
      </c>
      <c r="I6" s="22" t="s">
        <v>948</v>
      </c>
      <c r="J6" s="22"/>
      <c r="K6" s="12" t="str">
        <f aca="false">"87,5"</f>
        <v>87,5</v>
      </c>
      <c r="L6" s="43" t="str">
        <f aca="false">"74,0819"</f>
        <v>74,0819</v>
      </c>
      <c r="M6" s="14" t="s">
        <v>949</v>
      </c>
    </row>
    <row r="8" customFormat="false" ht="15" hidden="false" customHeight="false" outlineLevel="0" collapsed="false">
      <c r="E8" s="23" t="s">
        <v>53</v>
      </c>
    </row>
    <row r="9" customFormat="false" ht="15" hidden="false" customHeight="false" outlineLevel="0" collapsed="false">
      <c r="E9" s="23" t="s">
        <v>54</v>
      </c>
    </row>
    <row r="10" customFormat="false" ht="15" hidden="false" customHeight="false" outlineLevel="0" collapsed="false">
      <c r="E10" s="23" t="s">
        <v>55</v>
      </c>
    </row>
    <row r="11" customFormat="false" ht="15" hidden="false" customHeight="false" outlineLevel="0" collapsed="false">
      <c r="E11" s="23" t="s">
        <v>56</v>
      </c>
    </row>
    <row r="12" customFormat="false" ht="15" hidden="false" customHeight="false" outlineLevel="0" collapsed="false">
      <c r="E12" s="23" t="s">
        <v>56</v>
      </c>
    </row>
    <row r="13" customFormat="false" ht="15" hidden="false" customHeight="false" outlineLevel="0" collapsed="false">
      <c r="E13" s="23" t="s">
        <v>57</v>
      </c>
    </row>
    <row r="14" customFormat="false" ht="15" hidden="false" customHeight="false" outlineLevel="0" collapsed="false">
      <c r="E14" s="23"/>
    </row>
    <row r="16" customFormat="false" ht="17.4" hidden="false" customHeight="false" outlineLevel="0" collapsed="false">
      <c r="A16" s="50" t="s">
        <v>58</v>
      </c>
      <c r="B16" s="50"/>
    </row>
    <row r="17" customFormat="false" ht="15.6" hidden="false" customHeight="false" outlineLevel="0" collapsed="false">
      <c r="A17" s="51" t="s">
        <v>69</v>
      </c>
      <c r="B17" s="51"/>
    </row>
    <row r="18" customFormat="false" ht="14.4" hidden="false" customHeight="false" outlineLevel="0" collapsed="false">
      <c r="A18" s="52"/>
      <c r="B18" s="53" t="s">
        <v>340</v>
      </c>
    </row>
    <row r="19" customFormat="false" ht="13.8" hidden="false" customHeight="false" outlineLevel="0" collapsed="false">
      <c r="A19" s="29" t="s">
        <v>61</v>
      </c>
      <c r="B19" s="29" t="s">
        <v>62</v>
      </c>
      <c r="C19" s="29" t="s">
        <v>63</v>
      </c>
      <c r="D19" s="29" t="s">
        <v>64</v>
      </c>
      <c r="E19" s="29" t="s">
        <v>65</v>
      </c>
    </row>
    <row r="20" customFormat="false" ht="13.2" hidden="false" customHeight="false" outlineLevel="0" collapsed="false">
      <c r="A20" s="54" t="s">
        <v>950</v>
      </c>
      <c r="B20" s="33" t="s">
        <v>549</v>
      </c>
      <c r="C20" s="33" t="s">
        <v>344</v>
      </c>
      <c r="D20" s="33" t="s">
        <v>606</v>
      </c>
      <c r="E20" s="1" t="s">
        <v>951</v>
      </c>
    </row>
  </sheetData>
  <mergeCells count="12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J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7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9.12109375" defaultRowHeight="13.2" zeroHeight="false" outlineLevelRow="0" outlineLevelCol="0"/>
  <cols>
    <col collapsed="false" customWidth="true" hidden="false" outlineLevel="0" max="1" min="1" style="33" width="24.67"/>
    <col collapsed="false" customWidth="true" hidden="false" outlineLevel="0" max="2" min="2" style="33" width="29.89"/>
    <col collapsed="false" customWidth="true" hidden="false" outlineLevel="0" max="3" min="3" style="33" width="14.88"/>
    <col collapsed="false" customWidth="true" hidden="false" outlineLevel="0" max="4" min="4" style="33" width="11.89"/>
    <col collapsed="false" customWidth="true" hidden="false" outlineLevel="0" max="5" min="5" style="33" width="21.78"/>
    <col collapsed="false" customWidth="true" hidden="false" outlineLevel="0" max="6" min="6" style="33" width="31.44"/>
    <col collapsed="false" customWidth="true" hidden="false" outlineLevel="0" max="9" min="7" style="34" width="5.55"/>
    <col collapsed="false" customWidth="true" hidden="false" outlineLevel="0" max="10" min="10" style="34" width="4.56"/>
    <col collapsed="false" customWidth="true" hidden="false" outlineLevel="0" max="11" min="11" style="1" width="7.67"/>
    <col collapsed="false" customWidth="true" hidden="false" outlineLevel="0" max="12" min="12" style="35" width="8.56"/>
    <col collapsed="false" customWidth="true" hidden="false" outlineLevel="0" max="13" min="13" style="33" width="17.67"/>
    <col collapsed="false" customWidth="false" hidden="false" outlineLevel="0" max="1024" min="14" style="34" width="9.11"/>
  </cols>
  <sheetData>
    <row r="1" s="35" customFormat="true" ht="28.95" hidden="false" customHeight="true" outlineLevel="0" collapsed="false">
      <c r="A1" s="36" t="s">
        <v>952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="35" customFormat="true" ht="61.95" hidden="false" customHeight="true" outlineLevel="0" collapsed="false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="9" customFormat="true" ht="12.75" hidden="false" customHeight="true" outlineLevel="0" collapsed="false">
      <c r="A3" s="37" t="s">
        <v>1</v>
      </c>
      <c r="B3" s="38" t="s">
        <v>2</v>
      </c>
      <c r="C3" s="38" t="s">
        <v>186</v>
      </c>
      <c r="D3" s="39" t="s">
        <v>4</v>
      </c>
      <c r="E3" s="39" t="s">
        <v>5</v>
      </c>
      <c r="F3" s="39" t="s">
        <v>6</v>
      </c>
      <c r="G3" s="40" t="s">
        <v>527</v>
      </c>
      <c r="H3" s="40"/>
      <c r="I3" s="40"/>
      <c r="J3" s="40"/>
      <c r="K3" s="39" t="s">
        <v>8</v>
      </c>
      <c r="L3" s="39" t="s">
        <v>189</v>
      </c>
      <c r="M3" s="41" t="s">
        <v>190</v>
      </c>
    </row>
    <row r="4" s="9" customFormat="true" ht="21" hidden="false" customHeight="true" outlineLevel="0" collapsed="false">
      <c r="A4" s="37"/>
      <c r="B4" s="38"/>
      <c r="C4" s="38"/>
      <c r="D4" s="38"/>
      <c r="E4" s="38"/>
      <c r="F4" s="38"/>
      <c r="G4" s="42" t="n">
        <v>1</v>
      </c>
      <c r="H4" s="42" t="n">
        <v>2</v>
      </c>
      <c r="I4" s="42" t="n">
        <v>3</v>
      </c>
      <c r="J4" s="42" t="s">
        <v>265</v>
      </c>
      <c r="K4" s="39"/>
      <c r="L4" s="39"/>
      <c r="M4" s="41"/>
    </row>
    <row r="5" customFormat="false" ht="15.6" hidden="false" customHeight="false" outlineLevel="0" collapsed="false">
      <c r="A5" s="11" t="s">
        <v>266</v>
      </c>
      <c r="B5" s="11"/>
      <c r="C5" s="11"/>
      <c r="D5" s="11"/>
      <c r="E5" s="11"/>
      <c r="F5" s="11"/>
      <c r="G5" s="11"/>
      <c r="H5" s="11"/>
      <c r="I5" s="11"/>
      <c r="J5" s="11"/>
    </row>
    <row r="6" customFormat="false" ht="13.2" hidden="false" customHeight="false" outlineLevel="0" collapsed="false">
      <c r="A6" s="18" t="s">
        <v>953</v>
      </c>
      <c r="B6" s="18" t="s">
        <v>954</v>
      </c>
      <c r="C6" s="18" t="s">
        <v>933</v>
      </c>
      <c r="D6" s="18" t="str">
        <f aca="false">"0,9000"</f>
        <v>0,9000</v>
      </c>
      <c r="E6" s="18" t="s">
        <v>14</v>
      </c>
      <c r="F6" s="18" t="s">
        <v>955</v>
      </c>
      <c r="G6" s="17" t="s">
        <v>49</v>
      </c>
      <c r="H6" s="17" t="s">
        <v>948</v>
      </c>
      <c r="I6" s="32" t="s">
        <v>41</v>
      </c>
      <c r="J6" s="32"/>
      <c r="K6" s="16" t="str">
        <f aca="false">"92,5"</f>
        <v>92,5</v>
      </c>
      <c r="L6" s="44" t="str">
        <f aca="false">"83,2454"</f>
        <v>83,2454</v>
      </c>
      <c r="M6" s="18" t="s">
        <v>22</v>
      </c>
    </row>
    <row r="7" customFormat="false" ht="13.2" hidden="false" customHeight="false" outlineLevel="0" collapsed="false">
      <c r="A7" s="45" t="s">
        <v>956</v>
      </c>
      <c r="B7" s="45" t="s">
        <v>957</v>
      </c>
      <c r="C7" s="45" t="s">
        <v>958</v>
      </c>
      <c r="D7" s="45" t="str">
        <f aca="false">"0,9373"</f>
        <v>0,9373</v>
      </c>
      <c r="E7" s="45" t="s">
        <v>14</v>
      </c>
      <c r="F7" s="45" t="s">
        <v>873</v>
      </c>
      <c r="G7" s="46" t="s">
        <v>208</v>
      </c>
      <c r="H7" s="46" t="s">
        <v>31</v>
      </c>
      <c r="I7" s="55" t="s">
        <v>217</v>
      </c>
      <c r="J7" s="55"/>
      <c r="K7" s="47" t="str">
        <f aca="false">"80,0"</f>
        <v>80,0</v>
      </c>
      <c r="L7" s="48" t="str">
        <f aca="false">"90,2855"</f>
        <v>90,2855</v>
      </c>
      <c r="M7" s="45" t="s">
        <v>22</v>
      </c>
    </row>
    <row r="8" customFormat="false" ht="13.2" hidden="false" customHeight="false" outlineLevel="0" collapsed="false">
      <c r="A8" s="21" t="s">
        <v>959</v>
      </c>
      <c r="B8" s="21" t="s">
        <v>960</v>
      </c>
      <c r="C8" s="21" t="s">
        <v>961</v>
      </c>
      <c r="D8" s="21" t="str">
        <f aca="false">"0,9211"</f>
        <v>0,9211</v>
      </c>
      <c r="E8" s="21" t="s">
        <v>962</v>
      </c>
      <c r="F8" s="21" t="s">
        <v>963</v>
      </c>
      <c r="G8" s="20" t="s">
        <v>863</v>
      </c>
      <c r="H8" s="20" t="s">
        <v>18</v>
      </c>
      <c r="I8" s="31" t="s">
        <v>577</v>
      </c>
      <c r="J8" s="31"/>
      <c r="K8" s="19" t="str">
        <f aca="false">"40,0"</f>
        <v>40,0</v>
      </c>
      <c r="L8" s="49" t="str">
        <f aca="false">"69,1193"</f>
        <v>69,1193</v>
      </c>
      <c r="M8" s="21" t="s">
        <v>964</v>
      </c>
    </row>
    <row r="10" customFormat="false" ht="15.6" hidden="false" customHeight="false" outlineLevel="0" collapsed="false">
      <c r="A10" s="15" t="s">
        <v>213</v>
      </c>
      <c r="B10" s="15"/>
      <c r="C10" s="15"/>
      <c r="D10" s="15"/>
      <c r="E10" s="15"/>
      <c r="F10" s="15"/>
      <c r="G10" s="15"/>
      <c r="H10" s="15"/>
      <c r="I10" s="15"/>
      <c r="J10" s="15"/>
    </row>
    <row r="11" customFormat="false" ht="13.2" hidden="false" customHeight="false" outlineLevel="0" collapsed="false">
      <c r="A11" s="14" t="s">
        <v>509</v>
      </c>
      <c r="B11" s="14" t="s">
        <v>510</v>
      </c>
      <c r="C11" s="14" t="s">
        <v>511</v>
      </c>
      <c r="D11" s="14" t="str">
        <f aca="false">"0,7962"</f>
        <v>0,7962</v>
      </c>
      <c r="E11" s="14" t="s">
        <v>14</v>
      </c>
      <c r="F11" s="14" t="s">
        <v>39</v>
      </c>
      <c r="G11" s="13" t="s">
        <v>41</v>
      </c>
      <c r="H11" s="13" t="s">
        <v>50</v>
      </c>
      <c r="I11" s="22" t="s">
        <v>594</v>
      </c>
      <c r="J11" s="22"/>
      <c r="K11" s="12" t="str">
        <f aca="false">"100,0"</f>
        <v>100,0</v>
      </c>
      <c r="L11" s="43" t="str">
        <f aca="false">"79,6150"</f>
        <v>79,6150</v>
      </c>
      <c r="M11" s="14" t="s">
        <v>22</v>
      </c>
    </row>
    <row r="13" customFormat="false" ht="15.6" hidden="false" customHeight="false" outlineLevel="0" collapsed="false">
      <c r="A13" s="15" t="s">
        <v>213</v>
      </c>
      <c r="B13" s="15"/>
      <c r="C13" s="15"/>
      <c r="D13" s="15"/>
      <c r="E13" s="15"/>
      <c r="F13" s="15"/>
      <c r="G13" s="15"/>
      <c r="H13" s="15"/>
      <c r="I13" s="15"/>
      <c r="J13" s="15"/>
    </row>
    <row r="14" customFormat="false" ht="13.2" hidden="false" customHeight="false" outlineLevel="0" collapsed="false">
      <c r="A14" s="18" t="s">
        <v>965</v>
      </c>
      <c r="B14" s="18" t="s">
        <v>966</v>
      </c>
      <c r="C14" s="18" t="s">
        <v>967</v>
      </c>
      <c r="D14" s="18" t="str">
        <f aca="false">"0,6646"</f>
        <v>0,6646</v>
      </c>
      <c r="E14" s="18" t="s">
        <v>14</v>
      </c>
      <c r="F14" s="18" t="s">
        <v>873</v>
      </c>
      <c r="G14" s="17" t="s">
        <v>40</v>
      </c>
      <c r="H14" s="17" t="s">
        <v>50</v>
      </c>
      <c r="I14" s="32" t="s">
        <v>107</v>
      </c>
      <c r="J14" s="32"/>
      <c r="K14" s="16" t="str">
        <f aca="false">"100,0"</f>
        <v>100,0</v>
      </c>
      <c r="L14" s="44" t="str">
        <f aca="false">"66,4600"</f>
        <v>66,4600</v>
      </c>
      <c r="M14" s="18" t="s">
        <v>22</v>
      </c>
    </row>
    <row r="15" customFormat="false" ht="13.2" hidden="false" customHeight="false" outlineLevel="0" collapsed="false">
      <c r="A15" s="21" t="s">
        <v>968</v>
      </c>
      <c r="B15" s="21" t="s">
        <v>969</v>
      </c>
      <c r="C15" s="21" t="s">
        <v>970</v>
      </c>
      <c r="D15" s="21" t="str">
        <f aca="false">"0,6749"</f>
        <v>0,6749</v>
      </c>
      <c r="E15" s="21" t="s">
        <v>14</v>
      </c>
      <c r="F15" s="21" t="s">
        <v>39</v>
      </c>
      <c r="G15" s="20" t="s">
        <v>108</v>
      </c>
      <c r="H15" s="20" t="s">
        <v>402</v>
      </c>
      <c r="I15" s="20" t="s">
        <v>109</v>
      </c>
      <c r="J15" s="31"/>
      <c r="K15" s="19" t="str">
        <f aca="false">"130,0"</f>
        <v>130,0</v>
      </c>
      <c r="L15" s="49" t="str">
        <f aca="false">"90,4568"</f>
        <v>90,4568</v>
      </c>
      <c r="M15" s="21" t="s">
        <v>22</v>
      </c>
    </row>
    <row r="17" customFormat="false" ht="15.6" hidden="false" customHeight="false" outlineLevel="0" collapsed="false">
      <c r="A17" s="15" t="s">
        <v>35</v>
      </c>
      <c r="B17" s="15"/>
      <c r="C17" s="15"/>
      <c r="D17" s="15"/>
      <c r="E17" s="15"/>
      <c r="F17" s="15"/>
      <c r="G17" s="15"/>
      <c r="H17" s="15"/>
      <c r="I17" s="15"/>
      <c r="J17" s="15"/>
    </row>
    <row r="18" customFormat="false" ht="13.2" hidden="false" customHeight="false" outlineLevel="0" collapsed="false">
      <c r="A18" s="14" t="s">
        <v>971</v>
      </c>
      <c r="B18" s="14" t="s">
        <v>972</v>
      </c>
      <c r="C18" s="14" t="s">
        <v>973</v>
      </c>
      <c r="D18" s="14" t="str">
        <f aca="false">"0,6303"</f>
        <v>0,6303</v>
      </c>
      <c r="E18" s="14" t="s">
        <v>962</v>
      </c>
      <c r="F18" s="14" t="s">
        <v>963</v>
      </c>
      <c r="G18" s="13" t="s">
        <v>109</v>
      </c>
      <c r="H18" s="13" t="s">
        <v>638</v>
      </c>
      <c r="I18" s="22" t="s">
        <v>115</v>
      </c>
      <c r="J18" s="22"/>
      <c r="K18" s="12" t="str">
        <f aca="false">"137,5"</f>
        <v>137,5</v>
      </c>
      <c r="L18" s="43" t="str">
        <f aca="false">"107,9947"</f>
        <v>107,9947</v>
      </c>
      <c r="M18" s="14" t="s">
        <v>22</v>
      </c>
    </row>
    <row r="20" customFormat="false" ht="15.6" hidden="false" customHeight="false" outlineLevel="0" collapsed="false">
      <c r="A20" s="15" t="s">
        <v>44</v>
      </c>
      <c r="B20" s="15"/>
      <c r="C20" s="15"/>
      <c r="D20" s="15"/>
      <c r="E20" s="15"/>
      <c r="F20" s="15"/>
      <c r="G20" s="15"/>
      <c r="H20" s="15"/>
      <c r="I20" s="15"/>
      <c r="J20" s="15"/>
    </row>
    <row r="21" customFormat="false" ht="13.2" hidden="false" customHeight="false" outlineLevel="0" collapsed="false">
      <c r="A21" s="18" t="s">
        <v>974</v>
      </c>
      <c r="B21" s="18" t="s">
        <v>975</v>
      </c>
      <c r="C21" s="18" t="s">
        <v>976</v>
      </c>
      <c r="D21" s="18" t="str">
        <f aca="false">"0,5949"</f>
        <v>0,5949</v>
      </c>
      <c r="E21" s="18" t="s">
        <v>14</v>
      </c>
      <c r="F21" s="18" t="s">
        <v>317</v>
      </c>
      <c r="G21" s="17" t="s">
        <v>115</v>
      </c>
      <c r="H21" s="17" t="s">
        <v>123</v>
      </c>
      <c r="I21" s="32" t="s">
        <v>116</v>
      </c>
      <c r="J21" s="32"/>
      <c r="K21" s="16" t="str">
        <f aca="false">"145,0"</f>
        <v>145,0</v>
      </c>
      <c r="L21" s="44" t="str">
        <f aca="false">"86,2605"</f>
        <v>86,2605</v>
      </c>
      <c r="M21" s="18" t="s">
        <v>22</v>
      </c>
    </row>
    <row r="22" customFormat="false" ht="13.2" hidden="false" customHeight="false" outlineLevel="0" collapsed="false">
      <c r="A22" s="45" t="s">
        <v>977</v>
      </c>
      <c r="B22" s="45" t="s">
        <v>978</v>
      </c>
      <c r="C22" s="45" t="s">
        <v>979</v>
      </c>
      <c r="D22" s="45" t="str">
        <f aca="false">"0,6104"</f>
        <v>0,6104</v>
      </c>
      <c r="E22" s="45" t="s">
        <v>14</v>
      </c>
      <c r="F22" s="45" t="s">
        <v>963</v>
      </c>
      <c r="G22" s="46" t="s">
        <v>108</v>
      </c>
      <c r="H22" s="46" t="s">
        <v>402</v>
      </c>
      <c r="I22" s="55" t="s">
        <v>109</v>
      </c>
      <c r="J22" s="55"/>
      <c r="K22" s="47" t="str">
        <f aca="false">"125,0"</f>
        <v>125,0</v>
      </c>
      <c r="L22" s="48" t="str">
        <f aca="false">"80,4965"</f>
        <v>80,4965</v>
      </c>
      <c r="M22" s="45" t="s">
        <v>22</v>
      </c>
    </row>
    <row r="23" customFormat="false" ht="13.2" hidden="false" customHeight="false" outlineLevel="0" collapsed="false">
      <c r="A23" s="45" t="s">
        <v>980</v>
      </c>
      <c r="B23" s="45" t="s">
        <v>981</v>
      </c>
      <c r="C23" s="45" t="s">
        <v>982</v>
      </c>
      <c r="D23" s="45" t="str">
        <f aca="false">"0,6086"</f>
        <v>0,6086</v>
      </c>
      <c r="E23" s="45" t="s">
        <v>962</v>
      </c>
      <c r="F23" s="45" t="s">
        <v>963</v>
      </c>
      <c r="G23" s="46" t="s">
        <v>30</v>
      </c>
      <c r="H23" s="46" t="s">
        <v>208</v>
      </c>
      <c r="I23" s="46" t="s">
        <v>31</v>
      </c>
      <c r="J23" s="55"/>
      <c r="K23" s="47" t="str">
        <f aca="false">"80,0"</f>
        <v>80,0</v>
      </c>
      <c r="L23" s="48" t="str">
        <f aca="false">"62,8510"</f>
        <v>62,8510</v>
      </c>
      <c r="M23" s="45" t="s">
        <v>22</v>
      </c>
    </row>
    <row r="24" customFormat="false" ht="13.2" hidden="false" customHeight="false" outlineLevel="0" collapsed="false">
      <c r="A24" s="21" t="s">
        <v>983</v>
      </c>
      <c r="B24" s="21" t="s">
        <v>984</v>
      </c>
      <c r="C24" s="21" t="s">
        <v>985</v>
      </c>
      <c r="D24" s="21" t="str">
        <f aca="false">"0,5993"</f>
        <v>0,5993</v>
      </c>
      <c r="E24" s="21" t="s">
        <v>962</v>
      </c>
      <c r="F24" s="21" t="s">
        <v>963</v>
      </c>
      <c r="G24" s="20" t="s">
        <v>425</v>
      </c>
      <c r="H24" s="20" t="s">
        <v>426</v>
      </c>
      <c r="I24" s="20" t="s">
        <v>427</v>
      </c>
      <c r="J24" s="31"/>
      <c r="K24" s="19" t="str">
        <f aca="false">"190,0"</f>
        <v>190,0</v>
      </c>
      <c r="L24" s="49" t="str">
        <f aca="false">"152,5818"</f>
        <v>152,5818</v>
      </c>
      <c r="M24" s="21" t="s">
        <v>22</v>
      </c>
    </row>
    <row r="26" customFormat="false" ht="15.6" hidden="false" customHeight="false" outlineLevel="0" collapsed="false">
      <c r="A26" s="15" t="s">
        <v>228</v>
      </c>
      <c r="B26" s="15"/>
      <c r="C26" s="15"/>
      <c r="D26" s="15"/>
      <c r="E26" s="15"/>
      <c r="F26" s="15"/>
      <c r="G26" s="15"/>
      <c r="H26" s="15"/>
      <c r="I26" s="15"/>
      <c r="J26" s="15"/>
    </row>
    <row r="27" customFormat="false" ht="13.2" hidden="false" customHeight="false" outlineLevel="0" collapsed="false">
      <c r="A27" s="14" t="s">
        <v>986</v>
      </c>
      <c r="B27" s="14" t="s">
        <v>987</v>
      </c>
      <c r="C27" s="14" t="s">
        <v>988</v>
      </c>
      <c r="D27" s="14" t="str">
        <f aca="false">"0,5666"</f>
        <v>0,5666</v>
      </c>
      <c r="E27" s="14" t="s">
        <v>962</v>
      </c>
      <c r="F27" s="14" t="s">
        <v>963</v>
      </c>
      <c r="G27" s="22" t="s">
        <v>50</v>
      </c>
      <c r="H27" s="13" t="s">
        <v>50</v>
      </c>
      <c r="I27" s="22" t="s">
        <v>107</v>
      </c>
      <c r="J27" s="22"/>
      <c r="K27" s="12" t="str">
        <f aca="false">"100,0"</f>
        <v>100,0</v>
      </c>
      <c r="L27" s="43" t="str">
        <f aca="false">"71,8512"</f>
        <v>71,8512</v>
      </c>
      <c r="M27" s="14" t="s">
        <v>22</v>
      </c>
    </row>
    <row r="29" customFormat="false" ht="15.6" hidden="false" customHeight="false" outlineLevel="0" collapsed="false">
      <c r="A29" s="15" t="s">
        <v>126</v>
      </c>
      <c r="B29" s="15"/>
      <c r="C29" s="15"/>
      <c r="D29" s="15"/>
      <c r="E29" s="15"/>
      <c r="F29" s="15"/>
      <c r="G29" s="15"/>
      <c r="H29" s="15"/>
      <c r="I29" s="15"/>
      <c r="J29" s="15"/>
    </row>
    <row r="30" customFormat="false" ht="13.2" hidden="false" customHeight="false" outlineLevel="0" collapsed="false">
      <c r="A30" s="18" t="s">
        <v>989</v>
      </c>
      <c r="B30" s="18" t="s">
        <v>990</v>
      </c>
      <c r="C30" s="18" t="s">
        <v>991</v>
      </c>
      <c r="D30" s="18" t="str">
        <f aca="false">"0,5547"</f>
        <v>0,5547</v>
      </c>
      <c r="E30" s="18" t="s">
        <v>962</v>
      </c>
      <c r="F30" s="18" t="s">
        <v>39</v>
      </c>
      <c r="G30" s="17" t="s">
        <v>410</v>
      </c>
      <c r="H30" s="17" t="s">
        <v>108</v>
      </c>
      <c r="I30" s="17" t="s">
        <v>402</v>
      </c>
      <c r="J30" s="32"/>
      <c r="K30" s="16" t="str">
        <f aca="false">"125,0"</f>
        <v>125,0</v>
      </c>
      <c r="L30" s="44" t="str">
        <f aca="false">"69,3375"</f>
        <v>69,3375</v>
      </c>
      <c r="M30" s="18" t="s">
        <v>22</v>
      </c>
    </row>
    <row r="31" customFormat="false" ht="13.2" hidden="false" customHeight="false" outlineLevel="0" collapsed="false">
      <c r="A31" s="21" t="s">
        <v>992</v>
      </c>
      <c r="B31" s="21" t="s">
        <v>993</v>
      </c>
      <c r="C31" s="21" t="s">
        <v>994</v>
      </c>
      <c r="D31" s="21" t="str">
        <f aca="false">"0,5530"</f>
        <v>0,5530</v>
      </c>
      <c r="E31" s="21" t="s">
        <v>14</v>
      </c>
      <c r="F31" s="21" t="s">
        <v>39</v>
      </c>
      <c r="G31" s="20" t="s">
        <v>426</v>
      </c>
      <c r="H31" s="20" t="s">
        <v>427</v>
      </c>
      <c r="I31" s="20" t="s">
        <v>995</v>
      </c>
      <c r="J31" s="31"/>
      <c r="K31" s="19" t="str">
        <f aca="false">"195,0"</f>
        <v>195,0</v>
      </c>
      <c r="L31" s="49" t="str">
        <f aca="false">"107,8350"</f>
        <v>107,8350</v>
      </c>
      <c r="M31" s="21" t="s">
        <v>22</v>
      </c>
    </row>
    <row r="33" customFormat="false" ht="15.6" hidden="false" customHeight="false" outlineLevel="0" collapsed="false">
      <c r="A33" s="15" t="s">
        <v>329</v>
      </c>
      <c r="B33" s="15"/>
      <c r="C33" s="15"/>
      <c r="D33" s="15"/>
      <c r="E33" s="15"/>
      <c r="F33" s="15"/>
      <c r="G33" s="15"/>
      <c r="H33" s="15"/>
      <c r="I33" s="15"/>
      <c r="J33" s="15"/>
    </row>
    <row r="34" customFormat="false" ht="13.2" hidden="false" customHeight="false" outlineLevel="0" collapsed="false">
      <c r="A34" s="14" t="s">
        <v>996</v>
      </c>
      <c r="B34" s="14" t="s">
        <v>997</v>
      </c>
      <c r="C34" s="14" t="s">
        <v>998</v>
      </c>
      <c r="D34" s="14" t="str">
        <f aca="false">"0,5424"</f>
        <v>0,5424</v>
      </c>
      <c r="E34" s="14" t="s">
        <v>14</v>
      </c>
      <c r="F34" s="14" t="s">
        <v>963</v>
      </c>
      <c r="G34" s="13" t="s">
        <v>402</v>
      </c>
      <c r="H34" s="13" t="s">
        <v>109</v>
      </c>
      <c r="I34" s="13" t="s">
        <v>115</v>
      </c>
      <c r="J34" s="22"/>
      <c r="K34" s="12" t="str">
        <f aca="false">"140,0"</f>
        <v>140,0</v>
      </c>
      <c r="L34" s="43" t="str">
        <f aca="false">"85,8124"</f>
        <v>85,8124</v>
      </c>
      <c r="M34" s="14" t="s">
        <v>22</v>
      </c>
    </row>
    <row r="36" customFormat="false" ht="15" hidden="false" customHeight="false" outlineLevel="0" collapsed="false">
      <c r="E36" s="23" t="s">
        <v>53</v>
      </c>
    </row>
    <row r="37" customFormat="false" ht="15" hidden="false" customHeight="false" outlineLevel="0" collapsed="false">
      <c r="E37" s="23" t="s">
        <v>54</v>
      </c>
    </row>
    <row r="38" customFormat="false" ht="15" hidden="false" customHeight="false" outlineLevel="0" collapsed="false">
      <c r="E38" s="23" t="s">
        <v>55</v>
      </c>
    </row>
    <row r="39" customFormat="false" ht="15" hidden="false" customHeight="false" outlineLevel="0" collapsed="false">
      <c r="E39" s="23" t="s">
        <v>56</v>
      </c>
    </row>
    <row r="40" customFormat="false" ht="15" hidden="false" customHeight="false" outlineLevel="0" collapsed="false">
      <c r="E40" s="23" t="s">
        <v>56</v>
      </c>
    </row>
    <row r="41" customFormat="false" ht="15" hidden="false" customHeight="false" outlineLevel="0" collapsed="false">
      <c r="E41" s="23" t="s">
        <v>57</v>
      </c>
    </row>
    <row r="42" customFormat="false" ht="15" hidden="false" customHeight="false" outlineLevel="0" collapsed="false">
      <c r="E42" s="23"/>
    </row>
    <row r="44" customFormat="false" ht="17.4" hidden="false" customHeight="false" outlineLevel="0" collapsed="false">
      <c r="A44" s="50" t="s">
        <v>58</v>
      </c>
      <c r="B44" s="50"/>
    </row>
    <row r="45" customFormat="false" ht="15.6" hidden="false" customHeight="false" outlineLevel="0" collapsed="false">
      <c r="A45" s="51" t="s">
        <v>59</v>
      </c>
      <c r="B45" s="51"/>
    </row>
    <row r="46" customFormat="false" ht="14.4" hidden="false" customHeight="false" outlineLevel="0" collapsed="false">
      <c r="A46" s="52"/>
      <c r="B46" s="53" t="s">
        <v>467</v>
      </c>
    </row>
    <row r="47" customFormat="false" ht="13.8" hidden="false" customHeight="false" outlineLevel="0" collapsed="false">
      <c r="A47" s="29" t="s">
        <v>61</v>
      </c>
      <c r="B47" s="29" t="s">
        <v>62</v>
      </c>
      <c r="C47" s="29" t="s">
        <v>63</v>
      </c>
      <c r="D47" s="29" t="s">
        <v>64</v>
      </c>
      <c r="E47" s="29" t="s">
        <v>65</v>
      </c>
    </row>
    <row r="48" customFormat="false" ht="13.2" hidden="false" customHeight="false" outlineLevel="0" collapsed="false">
      <c r="A48" s="54" t="s">
        <v>520</v>
      </c>
      <c r="B48" s="33" t="s">
        <v>348</v>
      </c>
      <c r="C48" s="33" t="s">
        <v>244</v>
      </c>
      <c r="D48" s="33" t="s">
        <v>50</v>
      </c>
      <c r="E48" s="1" t="s">
        <v>999</v>
      </c>
    </row>
    <row r="50" customFormat="false" ht="14.4" hidden="false" customHeight="false" outlineLevel="0" collapsed="false">
      <c r="A50" s="52"/>
      <c r="B50" s="53" t="s">
        <v>60</v>
      </c>
    </row>
    <row r="51" customFormat="false" ht="13.8" hidden="false" customHeight="false" outlineLevel="0" collapsed="false">
      <c r="A51" s="29" t="s">
        <v>61</v>
      </c>
      <c r="B51" s="29" t="s">
        <v>62</v>
      </c>
      <c r="C51" s="29" t="s">
        <v>63</v>
      </c>
      <c r="D51" s="29" t="s">
        <v>64</v>
      </c>
      <c r="E51" s="29" t="s">
        <v>65</v>
      </c>
    </row>
    <row r="52" customFormat="false" ht="13.2" hidden="false" customHeight="false" outlineLevel="0" collapsed="false">
      <c r="A52" s="54" t="s">
        <v>1000</v>
      </c>
      <c r="B52" s="33" t="s">
        <v>60</v>
      </c>
      <c r="C52" s="33" t="s">
        <v>337</v>
      </c>
      <c r="D52" s="33" t="s">
        <v>948</v>
      </c>
      <c r="E52" s="1" t="s">
        <v>1001</v>
      </c>
    </row>
    <row r="54" customFormat="false" ht="14.4" hidden="false" customHeight="false" outlineLevel="0" collapsed="false">
      <c r="A54" s="52"/>
      <c r="B54" s="53" t="s">
        <v>250</v>
      </c>
    </row>
    <row r="55" customFormat="false" ht="13.8" hidden="false" customHeight="false" outlineLevel="0" collapsed="false">
      <c r="A55" s="29" t="s">
        <v>61</v>
      </c>
      <c r="B55" s="29" t="s">
        <v>62</v>
      </c>
      <c r="C55" s="29" t="s">
        <v>63</v>
      </c>
      <c r="D55" s="29" t="s">
        <v>64</v>
      </c>
      <c r="E55" s="29" t="s">
        <v>65</v>
      </c>
    </row>
    <row r="56" customFormat="false" ht="13.2" hidden="false" customHeight="false" outlineLevel="0" collapsed="false">
      <c r="A56" s="54" t="s">
        <v>1002</v>
      </c>
      <c r="B56" s="33" t="s">
        <v>378</v>
      </c>
      <c r="C56" s="33" t="s">
        <v>337</v>
      </c>
      <c r="D56" s="33" t="s">
        <v>31</v>
      </c>
      <c r="E56" s="1" t="s">
        <v>1003</v>
      </c>
    </row>
    <row r="57" customFormat="false" ht="13.2" hidden="false" customHeight="false" outlineLevel="0" collapsed="false">
      <c r="A57" s="54" t="s">
        <v>1004</v>
      </c>
      <c r="B57" s="33" t="s">
        <v>1005</v>
      </c>
      <c r="C57" s="33" t="s">
        <v>337</v>
      </c>
      <c r="D57" s="33" t="s">
        <v>18</v>
      </c>
      <c r="E57" s="1" t="s">
        <v>1006</v>
      </c>
    </row>
    <row r="60" customFormat="false" ht="15.6" hidden="false" customHeight="false" outlineLevel="0" collapsed="false">
      <c r="A60" s="51" t="s">
        <v>69</v>
      </c>
      <c r="B60" s="51"/>
    </row>
    <row r="61" customFormat="false" ht="14.4" hidden="false" customHeight="false" outlineLevel="0" collapsed="false">
      <c r="A61" s="52"/>
      <c r="B61" s="53" t="s">
        <v>340</v>
      </c>
    </row>
    <row r="62" customFormat="false" ht="13.8" hidden="false" customHeight="false" outlineLevel="0" collapsed="false">
      <c r="A62" s="29" t="s">
        <v>61</v>
      </c>
      <c r="B62" s="29" t="s">
        <v>62</v>
      </c>
      <c r="C62" s="29" t="s">
        <v>63</v>
      </c>
      <c r="D62" s="29" t="s">
        <v>64</v>
      </c>
      <c r="E62" s="29" t="s">
        <v>65</v>
      </c>
    </row>
    <row r="63" customFormat="false" ht="13.2" hidden="false" customHeight="false" outlineLevel="0" collapsed="false">
      <c r="A63" s="54" t="s">
        <v>1007</v>
      </c>
      <c r="B63" s="33" t="s">
        <v>348</v>
      </c>
      <c r="C63" s="33" t="s">
        <v>142</v>
      </c>
      <c r="D63" s="33" t="s">
        <v>402</v>
      </c>
      <c r="E63" s="1" t="s">
        <v>1008</v>
      </c>
    </row>
    <row r="64" customFormat="false" ht="13.2" hidden="false" customHeight="false" outlineLevel="0" collapsed="false">
      <c r="A64" s="54" t="s">
        <v>1009</v>
      </c>
      <c r="B64" s="33" t="s">
        <v>341</v>
      </c>
      <c r="C64" s="33" t="s">
        <v>244</v>
      </c>
      <c r="D64" s="33" t="s">
        <v>50</v>
      </c>
      <c r="E64" s="1" t="s">
        <v>1010</v>
      </c>
    </row>
    <row r="66" customFormat="false" ht="14.4" hidden="false" customHeight="false" outlineLevel="0" collapsed="false">
      <c r="A66" s="52"/>
      <c r="B66" s="53" t="s">
        <v>60</v>
      </c>
    </row>
    <row r="67" customFormat="false" ht="13.8" hidden="false" customHeight="false" outlineLevel="0" collapsed="false">
      <c r="A67" s="29" t="s">
        <v>61</v>
      </c>
      <c r="B67" s="29" t="s">
        <v>62</v>
      </c>
      <c r="C67" s="29" t="s">
        <v>63</v>
      </c>
      <c r="D67" s="29" t="s">
        <v>64</v>
      </c>
      <c r="E67" s="29" t="s">
        <v>65</v>
      </c>
    </row>
    <row r="68" customFormat="false" ht="13.2" hidden="false" customHeight="false" outlineLevel="0" collapsed="false">
      <c r="A68" s="54" t="s">
        <v>1011</v>
      </c>
      <c r="B68" s="33" t="s">
        <v>60</v>
      </c>
      <c r="C68" s="33" t="s">
        <v>142</v>
      </c>
      <c r="D68" s="33" t="s">
        <v>995</v>
      </c>
      <c r="E68" s="1" t="s">
        <v>1012</v>
      </c>
    </row>
    <row r="69" customFormat="false" ht="13.2" hidden="false" customHeight="false" outlineLevel="0" collapsed="false">
      <c r="A69" s="54" t="s">
        <v>1013</v>
      </c>
      <c r="B69" s="33" t="s">
        <v>60</v>
      </c>
      <c r="C69" s="33" t="s">
        <v>72</v>
      </c>
      <c r="D69" s="33" t="s">
        <v>123</v>
      </c>
      <c r="E69" s="1" t="s">
        <v>1014</v>
      </c>
    </row>
    <row r="71" customFormat="false" ht="14.4" hidden="false" customHeight="false" outlineLevel="0" collapsed="false">
      <c r="A71" s="52"/>
      <c r="B71" s="53" t="s">
        <v>250</v>
      </c>
    </row>
    <row r="72" customFormat="false" ht="13.8" hidden="false" customHeight="false" outlineLevel="0" collapsed="false">
      <c r="A72" s="29" t="s">
        <v>61</v>
      </c>
      <c r="B72" s="29" t="s">
        <v>62</v>
      </c>
      <c r="C72" s="29" t="s">
        <v>63</v>
      </c>
      <c r="D72" s="29" t="s">
        <v>64</v>
      </c>
      <c r="E72" s="29" t="s">
        <v>65</v>
      </c>
    </row>
    <row r="73" customFormat="false" ht="13.2" hidden="false" customHeight="false" outlineLevel="0" collapsed="false">
      <c r="A73" s="54" t="s">
        <v>1015</v>
      </c>
      <c r="B73" s="33" t="s">
        <v>808</v>
      </c>
      <c r="C73" s="33" t="s">
        <v>72</v>
      </c>
      <c r="D73" s="33" t="s">
        <v>427</v>
      </c>
      <c r="E73" s="1" t="s">
        <v>1016</v>
      </c>
    </row>
    <row r="74" customFormat="false" ht="13.2" hidden="false" customHeight="false" outlineLevel="0" collapsed="false">
      <c r="A74" s="54" t="s">
        <v>1017</v>
      </c>
      <c r="B74" s="33" t="s">
        <v>373</v>
      </c>
      <c r="C74" s="33" t="s">
        <v>78</v>
      </c>
      <c r="D74" s="33" t="s">
        <v>638</v>
      </c>
      <c r="E74" s="1" t="s">
        <v>1018</v>
      </c>
    </row>
    <row r="75" customFormat="false" ht="13.2" hidden="false" customHeight="false" outlineLevel="0" collapsed="false">
      <c r="A75" s="54" t="s">
        <v>1019</v>
      </c>
      <c r="B75" s="33" t="s">
        <v>375</v>
      </c>
      <c r="C75" s="33" t="s">
        <v>244</v>
      </c>
      <c r="D75" s="33" t="s">
        <v>109</v>
      </c>
      <c r="E75" s="1" t="s">
        <v>1020</v>
      </c>
    </row>
    <row r="76" customFormat="false" ht="13.2" hidden="false" customHeight="false" outlineLevel="0" collapsed="false">
      <c r="A76" s="54" t="s">
        <v>1021</v>
      </c>
      <c r="B76" s="33" t="s">
        <v>378</v>
      </c>
      <c r="C76" s="33" t="s">
        <v>366</v>
      </c>
      <c r="D76" s="33" t="s">
        <v>115</v>
      </c>
      <c r="E76" s="1" t="s">
        <v>1022</v>
      </c>
    </row>
    <row r="77" customFormat="false" ht="13.2" hidden="false" customHeight="false" outlineLevel="0" collapsed="false">
      <c r="A77" s="54" t="s">
        <v>1023</v>
      </c>
      <c r="B77" s="33" t="s">
        <v>381</v>
      </c>
      <c r="C77" s="33" t="s">
        <v>72</v>
      </c>
      <c r="D77" s="33" t="s">
        <v>402</v>
      </c>
      <c r="E77" s="1" t="s">
        <v>1024</v>
      </c>
    </row>
    <row r="78" customFormat="false" ht="13.2" hidden="false" customHeight="false" outlineLevel="0" collapsed="false">
      <c r="A78" s="54" t="s">
        <v>1025</v>
      </c>
      <c r="B78" s="33" t="s">
        <v>373</v>
      </c>
      <c r="C78" s="33" t="s">
        <v>253</v>
      </c>
      <c r="D78" s="33" t="s">
        <v>50</v>
      </c>
      <c r="E78" s="1" t="s">
        <v>1026</v>
      </c>
    </row>
    <row r="79" customFormat="false" ht="13.2" hidden="false" customHeight="false" outlineLevel="0" collapsed="false">
      <c r="A79" s="54" t="s">
        <v>1027</v>
      </c>
      <c r="B79" s="33" t="s">
        <v>373</v>
      </c>
      <c r="C79" s="33" t="s">
        <v>72</v>
      </c>
      <c r="D79" s="33" t="s">
        <v>31</v>
      </c>
      <c r="E79" s="1" t="s">
        <v>1028</v>
      </c>
    </row>
  </sheetData>
  <mergeCells count="19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J5"/>
    <mergeCell ref="A10:J10"/>
    <mergeCell ref="A13:J13"/>
    <mergeCell ref="A17:J17"/>
    <mergeCell ref="A20:J20"/>
    <mergeCell ref="A26:J26"/>
    <mergeCell ref="A29:J29"/>
    <mergeCell ref="A33:J3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109375" defaultRowHeight="13.2" zeroHeight="false" outlineLevelRow="0" outlineLevelCol="0"/>
  <cols>
    <col collapsed="false" customWidth="true" hidden="false" outlineLevel="0" max="1" min="1" style="1" width="26.66"/>
    <col collapsed="false" customWidth="true" hidden="false" outlineLevel="0" max="2" min="2" style="2" width="25.21"/>
    <col collapsed="false" customWidth="true" hidden="false" outlineLevel="0" max="3" min="3" style="2" width="10.11"/>
    <col collapsed="false" customWidth="true" hidden="false" outlineLevel="0" max="4" min="4" style="2" width="11.89"/>
    <col collapsed="false" customWidth="true" hidden="false" outlineLevel="0" max="5" min="5" style="3" width="21.78"/>
    <col collapsed="false" customWidth="true" hidden="false" outlineLevel="0" max="6" min="6" style="3" width="30.89"/>
    <col collapsed="false" customWidth="true" hidden="false" outlineLevel="0" max="9" min="7" style="2" width="4.56"/>
    <col collapsed="false" customWidth="true" hidden="false" outlineLevel="0" max="10" min="10" style="2" width="2.11"/>
    <col collapsed="false" customWidth="true" hidden="false" outlineLevel="0" max="11" min="11" style="2" width="7"/>
    <col collapsed="false" customWidth="true" hidden="false" outlineLevel="0" max="12" min="12" style="2" width="10"/>
    <col collapsed="false" customWidth="true" hidden="false" outlineLevel="0" max="13" min="13" style="2" width="1.56"/>
    <col collapsed="false" customWidth="false" hidden="false" outlineLevel="0" max="1024" min="14" style="2" width="9.11"/>
  </cols>
  <sheetData>
    <row r="1" customFormat="false" ht="28.95" hidden="false" customHeight="true" outlineLevel="0" collapsed="false">
      <c r="A1" s="4" t="s">
        <v>80</v>
      </c>
      <c r="B1" s="4"/>
      <c r="C1" s="4"/>
      <c r="D1" s="4"/>
      <c r="E1" s="4"/>
      <c r="F1" s="4"/>
      <c r="G1" s="4"/>
      <c r="H1" s="4"/>
      <c r="I1" s="4"/>
      <c r="J1" s="4"/>
    </row>
    <row r="2" customFormat="false" ht="61.95" hidden="false" customHeight="true" outlineLevel="0" collapsed="false">
      <c r="A2" s="4"/>
      <c r="B2" s="4"/>
      <c r="C2" s="4"/>
      <c r="D2" s="4"/>
      <c r="E2" s="4"/>
      <c r="F2" s="4"/>
      <c r="G2" s="4"/>
      <c r="H2" s="4"/>
      <c r="I2" s="4"/>
      <c r="J2" s="4"/>
    </row>
    <row r="3" s="9" customFormat="true" ht="12.75" hidden="false" customHeight="true" outlineLevel="0" collapsed="false">
      <c r="A3" s="5" t="s">
        <v>1</v>
      </c>
      <c r="B3" s="6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8"/>
      <c r="I3" s="8"/>
      <c r="J3" s="8"/>
      <c r="K3" s="9" t="s">
        <v>8</v>
      </c>
    </row>
    <row r="4" s="9" customFormat="true" ht="21" hidden="false" customHeight="true" outlineLevel="0" collapsed="false">
      <c r="A4" s="5"/>
      <c r="B4" s="6"/>
      <c r="C4" s="6"/>
      <c r="D4" s="6"/>
      <c r="E4" s="6"/>
      <c r="F4" s="6"/>
      <c r="G4" s="10" t="n">
        <v>1</v>
      </c>
      <c r="H4" s="10" t="n">
        <v>2</v>
      </c>
      <c r="I4" s="10" t="n">
        <v>3</v>
      </c>
      <c r="J4" s="10" t="s">
        <v>9</v>
      </c>
    </row>
    <row r="5" customFormat="false" ht="15.6" hidden="false" customHeight="false" outlineLevel="0" collapsed="false">
      <c r="A5" s="11" t="s">
        <v>10</v>
      </c>
      <c r="B5" s="11"/>
      <c r="C5" s="11"/>
      <c r="D5" s="11"/>
      <c r="E5" s="11"/>
      <c r="F5" s="11"/>
      <c r="G5" s="11"/>
      <c r="H5" s="11"/>
      <c r="I5" s="11"/>
      <c r="J5" s="11"/>
    </row>
    <row r="6" customFormat="false" ht="13.2" hidden="false" customHeight="false" outlineLevel="0" collapsed="false">
      <c r="A6" s="12" t="s">
        <v>11</v>
      </c>
      <c r="B6" s="13" t="s">
        <v>12</v>
      </c>
      <c r="C6" s="13" t="s">
        <v>13</v>
      </c>
      <c r="D6" s="13" t="str">
        <f aca="false">"0,9028"</f>
        <v>0,9028</v>
      </c>
      <c r="E6" s="14" t="s">
        <v>14</v>
      </c>
      <c r="F6" s="14" t="s">
        <v>15</v>
      </c>
      <c r="G6" s="13" t="s">
        <v>81</v>
      </c>
      <c r="H6" s="13" t="s">
        <v>82</v>
      </c>
      <c r="I6" s="22" t="s">
        <v>83</v>
      </c>
      <c r="J6" s="22"/>
      <c r="K6" s="13" t="s">
        <v>84</v>
      </c>
      <c r="L6" s="13" t="s">
        <v>85</v>
      </c>
      <c r="M6" s="13" t="s">
        <v>22</v>
      </c>
    </row>
    <row r="8" customFormat="false" ht="15" hidden="false" customHeight="false" outlineLevel="0" collapsed="false">
      <c r="E8" s="23" t="s">
        <v>53</v>
      </c>
    </row>
    <row r="9" customFormat="false" ht="15" hidden="false" customHeight="false" outlineLevel="0" collapsed="false">
      <c r="E9" s="23" t="s">
        <v>54</v>
      </c>
    </row>
    <row r="10" customFormat="false" ht="15" hidden="false" customHeight="false" outlineLevel="0" collapsed="false">
      <c r="E10" s="23" t="s">
        <v>55</v>
      </c>
    </row>
    <row r="11" customFormat="false" ht="15" hidden="false" customHeight="false" outlineLevel="0" collapsed="false">
      <c r="E11" s="23" t="s">
        <v>56</v>
      </c>
    </row>
    <row r="12" customFormat="false" ht="15" hidden="false" customHeight="false" outlineLevel="0" collapsed="false">
      <c r="E12" s="23" t="s">
        <v>56</v>
      </c>
    </row>
    <row r="13" customFormat="false" ht="15" hidden="false" customHeight="false" outlineLevel="0" collapsed="false">
      <c r="E13" s="23" t="s">
        <v>57</v>
      </c>
    </row>
    <row r="14" customFormat="false" ht="15" hidden="false" customHeight="false" outlineLevel="0" collapsed="false">
      <c r="E14" s="23"/>
    </row>
    <row r="16" customFormat="false" ht="17.4" hidden="false" customHeight="false" outlineLevel="0" collapsed="false">
      <c r="A16" s="24" t="s">
        <v>58</v>
      </c>
      <c r="B16" s="25"/>
    </row>
    <row r="17" customFormat="false" ht="15.6" hidden="false" customHeight="false" outlineLevel="0" collapsed="false">
      <c r="A17" s="26" t="s">
        <v>59</v>
      </c>
      <c r="B17" s="15"/>
    </row>
    <row r="18" customFormat="false" ht="14.4" hidden="false" customHeight="false" outlineLevel="0" collapsed="false">
      <c r="A18" s="27"/>
      <c r="B18" s="28" t="s">
        <v>60</v>
      </c>
    </row>
    <row r="19" customFormat="false" ht="13.8" hidden="false" customHeight="false" outlineLevel="0" collapsed="false">
      <c r="A19" s="29" t="s">
        <v>61</v>
      </c>
      <c r="B19" s="29" t="s">
        <v>62</v>
      </c>
      <c r="C19" s="29" t="s">
        <v>63</v>
      </c>
      <c r="D19" s="29" t="s">
        <v>64</v>
      </c>
      <c r="E19" s="29" t="s">
        <v>65</v>
      </c>
    </row>
    <row r="20" customFormat="false" ht="13.2" hidden="false" customHeight="false" outlineLevel="0" collapsed="false">
      <c r="A20" s="30" t="s">
        <v>66</v>
      </c>
      <c r="B20" s="2" t="s">
        <v>60</v>
      </c>
      <c r="C20" s="2" t="s">
        <v>67</v>
      </c>
      <c r="D20" s="2" t="s">
        <v>82</v>
      </c>
      <c r="E20" s="1" t="s">
        <v>86</v>
      </c>
    </row>
  </sheetData>
  <mergeCells count="9">
    <mergeCell ref="A1:J2"/>
    <mergeCell ref="A3:A4"/>
    <mergeCell ref="B3:B4"/>
    <mergeCell ref="C3:C4"/>
    <mergeCell ref="D3:D4"/>
    <mergeCell ref="E3:E4"/>
    <mergeCell ref="F3:F4"/>
    <mergeCell ref="G3:J3"/>
    <mergeCell ref="A5:J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9.12109375" defaultRowHeight="13.2" zeroHeight="false" outlineLevelRow="0" outlineLevelCol="0"/>
  <cols>
    <col collapsed="false" customWidth="true" hidden="false" outlineLevel="0" max="1" min="1" style="33" width="24.67"/>
    <col collapsed="false" customWidth="true" hidden="false" outlineLevel="0" max="2" min="2" style="33" width="25.21"/>
    <col collapsed="false" customWidth="true" hidden="false" outlineLevel="0" max="3" min="3" style="33" width="14.88"/>
    <col collapsed="false" customWidth="true" hidden="false" outlineLevel="0" max="4" min="4" style="33" width="8.21"/>
    <col collapsed="false" customWidth="true" hidden="false" outlineLevel="0" max="5" min="5" style="33" width="21.78"/>
    <col collapsed="false" customWidth="true" hidden="false" outlineLevel="0" max="6" min="6" style="33" width="16.11"/>
    <col collapsed="false" customWidth="true" hidden="false" outlineLevel="0" max="9" min="7" style="34" width="5.55"/>
    <col collapsed="false" customWidth="true" hidden="false" outlineLevel="0" max="10" min="10" style="34" width="4.56"/>
    <col collapsed="false" customWidth="true" hidden="false" outlineLevel="0" max="13" min="11" style="34" width="5.55"/>
    <col collapsed="false" customWidth="true" hidden="false" outlineLevel="0" max="14" min="14" style="34" width="4.56"/>
    <col collapsed="false" customWidth="true" hidden="false" outlineLevel="0" max="17" min="15" style="34" width="5.55"/>
    <col collapsed="false" customWidth="true" hidden="false" outlineLevel="0" max="18" min="18" style="34" width="4.56"/>
    <col collapsed="false" customWidth="true" hidden="false" outlineLevel="0" max="19" min="19" style="1" width="7.67"/>
    <col collapsed="false" customWidth="true" hidden="false" outlineLevel="0" max="20" min="20" style="35" width="8.56"/>
    <col collapsed="false" customWidth="true" hidden="false" outlineLevel="0" max="21" min="21" style="33" width="8.33"/>
    <col collapsed="false" customWidth="false" hidden="false" outlineLevel="0" max="1024" min="22" style="34" width="9.11"/>
  </cols>
  <sheetData>
    <row r="1" s="35" customFormat="true" ht="28.95" hidden="false" customHeight="true" outlineLevel="0" collapsed="false">
      <c r="A1" s="36" t="s">
        <v>1029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="35" customFormat="true" ht="61.95" hidden="false" customHeight="true" outlineLevel="0" collapsed="false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="9" customFormat="true" ht="12.75" hidden="false" customHeight="true" outlineLevel="0" collapsed="false">
      <c r="A3" s="37" t="s">
        <v>1</v>
      </c>
      <c r="B3" s="38" t="s">
        <v>2</v>
      </c>
      <c r="C3" s="38" t="s">
        <v>186</v>
      </c>
      <c r="D3" s="39" t="s">
        <v>4</v>
      </c>
      <c r="E3" s="39" t="s">
        <v>5</v>
      </c>
      <c r="F3" s="39" t="s">
        <v>6</v>
      </c>
      <c r="G3" s="40" t="s">
        <v>822</v>
      </c>
      <c r="H3" s="40"/>
      <c r="I3" s="40"/>
      <c r="J3" s="40"/>
      <c r="K3" s="40" t="s">
        <v>527</v>
      </c>
      <c r="L3" s="40"/>
      <c r="M3" s="40"/>
      <c r="N3" s="40"/>
      <c r="O3" s="40" t="s">
        <v>386</v>
      </c>
      <c r="P3" s="40"/>
      <c r="Q3" s="40"/>
      <c r="R3" s="40"/>
      <c r="S3" s="39" t="s">
        <v>823</v>
      </c>
      <c r="T3" s="39" t="s">
        <v>189</v>
      </c>
      <c r="U3" s="41" t="s">
        <v>190</v>
      </c>
    </row>
    <row r="4" s="9" customFormat="true" ht="21" hidden="false" customHeight="true" outlineLevel="0" collapsed="false">
      <c r="A4" s="37"/>
      <c r="B4" s="38"/>
      <c r="C4" s="38"/>
      <c r="D4" s="38"/>
      <c r="E4" s="38"/>
      <c r="F4" s="38"/>
      <c r="G4" s="42" t="n">
        <v>1</v>
      </c>
      <c r="H4" s="42" t="n">
        <v>2</v>
      </c>
      <c r="I4" s="42" t="n">
        <v>3</v>
      </c>
      <c r="J4" s="42" t="s">
        <v>265</v>
      </c>
      <c r="K4" s="42" t="n">
        <v>1</v>
      </c>
      <c r="L4" s="42" t="n">
        <v>2</v>
      </c>
      <c r="M4" s="42" t="n">
        <v>3</v>
      </c>
      <c r="N4" s="42" t="s">
        <v>265</v>
      </c>
      <c r="O4" s="42" t="n">
        <v>1</v>
      </c>
      <c r="P4" s="42" t="n">
        <v>2</v>
      </c>
      <c r="Q4" s="42" t="n">
        <v>3</v>
      </c>
      <c r="R4" s="42" t="s">
        <v>265</v>
      </c>
      <c r="S4" s="39"/>
      <c r="T4" s="39"/>
      <c r="U4" s="41"/>
    </row>
    <row r="5" customFormat="false" ht="15.6" hidden="false" customHeight="false" outlineLevel="0" collapsed="false">
      <c r="A5" s="11" t="s">
        <v>44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customFormat="false" ht="13.2" hidden="false" customHeight="false" outlineLevel="0" collapsed="false">
      <c r="A6" s="14" t="s">
        <v>501</v>
      </c>
      <c r="B6" s="14" t="s">
        <v>502</v>
      </c>
      <c r="C6" s="14" t="s">
        <v>503</v>
      </c>
      <c r="D6" s="14" t="str">
        <f aca="false">"0,5922"</f>
        <v>0,5922</v>
      </c>
      <c r="E6" s="14" t="s">
        <v>14</v>
      </c>
      <c r="F6" s="14" t="s">
        <v>39</v>
      </c>
      <c r="G6" s="13" t="s">
        <v>1030</v>
      </c>
      <c r="H6" s="13" t="s">
        <v>465</v>
      </c>
      <c r="I6" s="13" t="s">
        <v>1031</v>
      </c>
      <c r="J6" s="22"/>
      <c r="K6" s="13" t="s">
        <v>1032</v>
      </c>
      <c r="L6" s="13" t="s">
        <v>669</v>
      </c>
      <c r="M6" s="13" t="s">
        <v>421</v>
      </c>
      <c r="N6" s="22"/>
      <c r="O6" s="13" t="s">
        <v>504</v>
      </c>
      <c r="P6" s="13" t="s">
        <v>505</v>
      </c>
      <c r="Q6" s="13" t="s">
        <v>446</v>
      </c>
      <c r="R6" s="22"/>
      <c r="S6" s="12" t="str">
        <f aca="false">"677,5"</f>
        <v>677,5</v>
      </c>
      <c r="T6" s="43" t="str">
        <f aca="false">"401,2494"</f>
        <v>401,2494</v>
      </c>
      <c r="U6" s="14" t="s">
        <v>22</v>
      </c>
    </row>
    <row r="8" customFormat="false" ht="15" hidden="false" customHeight="false" outlineLevel="0" collapsed="false">
      <c r="E8" s="23" t="s">
        <v>53</v>
      </c>
    </row>
    <row r="9" customFormat="false" ht="15" hidden="false" customHeight="false" outlineLevel="0" collapsed="false">
      <c r="E9" s="23" t="s">
        <v>54</v>
      </c>
    </row>
    <row r="10" customFormat="false" ht="15" hidden="false" customHeight="false" outlineLevel="0" collapsed="false">
      <c r="E10" s="23" t="s">
        <v>55</v>
      </c>
    </row>
    <row r="11" customFormat="false" ht="15" hidden="false" customHeight="false" outlineLevel="0" collapsed="false">
      <c r="E11" s="23" t="s">
        <v>56</v>
      </c>
    </row>
    <row r="12" customFormat="false" ht="15" hidden="false" customHeight="false" outlineLevel="0" collapsed="false">
      <c r="E12" s="23" t="s">
        <v>56</v>
      </c>
    </row>
    <row r="13" customFormat="false" ht="15" hidden="false" customHeight="false" outlineLevel="0" collapsed="false">
      <c r="E13" s="23" t="s">
        <v>57</v>
      </c>
    </row>
    <row r="14" customFormat="false" ht="15" hidden="false" customHeight="false" outlineLevel="0" collapsed="false">
      <c r="E14" s="23"/>
    </row>
    <row r="16" customFormat="false" ht="17.4" hidden="false" customHeight="false" outlineLevel="0" collapsed="false">
      <c r="A16" s="50" t="s">
        <v>58</v>
      </c>
      <c r="B16" s="50"/>
    </row>
    <row r="17" customFormat="false" ht="15.6" hidden="false" customHeight="false" outlineLevel="0" collapsed="false">
      <c r="A17" s="51" t="s">
        <v>69</v>
      </c>
      <c r="B17" s="51"/>
    </row>
    <row r="18" customFormat="false" ht="14.4" hidden="false" customHeight="false" outlineLevel="0" collapsed="false">
      <c r="A18" s="52"/>
      <c r="B18" s="53" t="s">
        <v>60</v>
      </c>
    </row>
    <row r="19" customFormat="false" ht="13.8" hidden="false" customHeight="false" outlineLevel="0" collapsed="false">
      <c r="A19" s="29" t="s">
        <v>61</v>
      </c>
      <c r="B19" s="29" t="s">
        <v>62</v>
      </c>
      <c r="C19" s="29" t="s">
        <v>63</v>
      </c>
      <c r="D19" s="29" t="s">
        <v>841</v>
      </c>
      <c r="E19" s="29" t="s">
        <v>65</v>
      </c>
    </row>
    <row r="20" customFormat="false" ht="13.2" hidden="false" customHeight="false" outlineLevel="0" collapsed="false">
      <c r="A20" s="54" t="s">
        <v>506</v>
      </c>
      <c r="B20" s="33" t="s">
        <v>60</v>
      </c>
      <c r="C20" s="33" t="s">
        <v>72</v>
      </c>
      <c r="D20" s="33" t="s">
        <v>1033</v>
      </c>
      <c r="E20" s="1" t="s">
        <v>1034</v>
      </c>
    </row>
  </sheetData>
  <mergeCells count="14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R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9.12109375" defaultRowHeight="13.2" zeroHeight="false" outlineLevelRow="0" outlineLevelCol="0"/>
  <cols>
    <col collapsed="false" customWidth="true" hidden="false" outlineLevel="0" max="1" min="1" style="33" width="24.67"/>
    <col collapsed="false" customWidth="true" hidden="false" outlineLevel="0" max="2" min="2" style="33" width="25.21"/>
    <col collapsed="false" customWidth="true" hidden="false" outlineLevel="0" max="3" min="3" style="33" width="14.88"/>
    <col collapsed="false" customWidth="true" hidden="false" outlineLevel="0" max="4" min="4" style="33" width="8.21"/>
    <col collapsed="false" customWidth="true" hidden="false" outlineLevel="0" max="5" min="5" style="33" width="21.78"/>
    <col collapsed="false" customWidth="true" hidden="false" outlineLevel="0" max="6" min="6" style="33" width="30.1"/>
    <col collapsed="false" customWidth="true" hidden="false" outlineLevel="0" max="9" min="7" style="34" width="5.55"/>
    <col collapsed="false" customWidth="true" hidden="false" outlineLevel="0" max="10" min="10" style="34" width="4.56"/>
    <col collapsed="false" customWidth="true" hidden="false" outlineLevel="0" max="13" min="11" style="34" width="5.55"/>
    <col collapsed="false" customWidth="true" hidden="false" outlineLevel="0" max="14" min="14" style="34" width="4.56"/>
    <col collapsed="false" customWidth="true" hidden="false" outlineLevel="0" max="17" min="15" style="34" width="5.55"/>
    <col collapsed="false" customWidth="true" hidden="false" outlineLevel="0" max="18" min="18" style="34" width="4.56"/>
    <col collapsed="false" customWidth="true" hidden="false" outlineLevel="0" max="19" min="19" style="1" width="7.67"/>
    <col collapsed="false" customWidth="true" hidden="false" outlineLevel="0" max="20" min="20" style="35" width="8.56"/>
    <col collapsed="false" customWidth="true" hidden="false" outlineLevel="0" max="21" min="21" style="33" width="8.33"/>
    <col collapsed="false" customWidth="false" hidden="false" outlineLevel="0" max="1024" min="22" style="34" width="9.11"/>
  </cols>
  <sheetData>
    <row r="1" s="35" customFormat="true" ht="28.95" hidden="false" customHeight="true" outlineLevel="0" collapsed="false">
      <c r="A1" s="36" t="s">
        <v>1035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="35" customFormat="true" ht="61.95" hidden="false" customHeight="true" outlineLevel="0" collapsed="false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="9" customFormat="true" ht="12.75" hidden="false" customHeight="true" outlineLevel="0" collapsed="false">
      <c r="A3" s="37" t="s">
        <v>1</v>
      </c>
      <c r="B3" s="38" t="s">
        <v>2</v>
      </c>
      <c r="C3" s="38" t="s">
        <v>186</v>
      </c>
      <c r="D3" s="39" t="s">
        <v>4</v>
      </c>
      <c r="E3" s="39" t="s">
        <v>5</v>
      </c>
      <c r="F3" s="39" t="s">
        <v>6</v>
      </c>
      <c r="G3" s="40" t="s">
        <v>822</v>
      </c>
      <c r="H3" s="40"/>
      <c r="I3" s="40"/>
      <c r="J3" s="40"/>
      <c r="K3" s="40" t="s">
        <v>527</v>
      </c>
      <c r="L3" s="40"/>
      <c r="M3" s="40"/>
      <c r="N3" s="40"/>
      <c r="O3" s="40" t="s">
        <v>386</v>
      </c>
      <c r="P3" s="40"/>
      <c r="Q3" s="40"/>
      <c r="R3" s="40"/>
      <c r="S3" s="39" t="s">
        <v>823</v>
      </c>
      <c r="T3" s="39" t="s">
        <v>189</v>
      </c>
      <c r="U3" s="41" t="s">
        <v>190</v>
      </c>
    </row>
    <row r="4" s="9" customFormat="true" ht="21" hidden="false" customHeight="true" outlineLevel="0" collapsed="false">
      <c r="A4" s="37"/>
      <c r="B4" s="38"/>
      <c r="C4" s="38"/>
      <c r="D4" s="38"/>
      <c r="E4" s="38"/>
      <c r="F4" s="38"/>
      <c r="G4" s="42" t="n">
        <v>1</v>
      </c>
      <c r="H4" s="42" t="n">
        <v>2</v>
      </c>
      <c r="I4" s="42" t="n">
        <v>3</v>
      </c>
      <c r="J4" s="42" t="s">
        <v>265</v>
      </c>
      <c r="K4" s="42" t="n">
        <v>1</v>
      </c>
      <c r="L4" s="42" t="n">
        <v>2</v>
      </c>
      <c r="M4" s="42" t="n">
        <v>3</v>
      </c>
      <c r="N4" s="42" t="s">
        <v>265</v>
      </c>
      <c r="O4" s="42" t="n">
        <v>1</v>
      </c>
      <c r="P4" s="42" t="n">
        <v>2</v>
      </c>
      <c r="Q4" s="42" t="n">
        <v>3</v>
      </c>
      <c r="R4" s="42" t="s">
        <v>265</v>
      </c>
      <c r="S4" s="39"/>
      <c r="T4" s="39"/>
      <c r="U4" s="41"/>
    </row>
    <row r="5" customFormat="false" ht="15.6" hidden="false" customHeight="false" outlineLevel="0" collapsed="false">
      <c r="A5" s="11" t="s">
        <v>35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customFormat="false" ht="13.2" hidden="false" customHeight="false" outlineLevel="0" collapsed="false">
      <c r="A6" s="14" t="s">
        <v>1036</v>
      </c>
      <c r="B6" s="14" t="s">
        <v>1037</v>
      </c>
      <c r="C6" s="14" t="s">
        <v>1038</v>
      </c>
      <c r="D6" s="14" t="str">
        <f aca="false">"0,6122"</f>
        <v>0,6122</v>
      </c>
      <c r="E6" s="14" t="s">
        <v>14</v>
      </c>
      <c r="F6" s="14" t="s">
        <v>172</v>
      </c>
      <c r="G6" s="13" t="s">
        <v>437</v>
      </c>
      <c r="H6" s="22" t="s">
        <v>827</v>
      </c>
      <c r="I6" s="13" t="s">
        <v>827</v>
      </c>
      <c r="J6" s="22"/>
      <c r="K6" s="13" t="s">
        <v>637</v>
      </c>
      <c r="L6" s="13" t="s">
        <v>116</v>
      </c>
      <c r="M6" s="13" t="s">
        <v>415</v>
      </c>
      <c r="N6" s="22"/>
      <c r="O6" s="13" t="s">
        <v>438</v>
      </c>
      <c r="P6" s="13" t="s">
        <v>446</v>
      </c>
      <c r="Q6" s="13" t="s">
        <v>448</v>
      </c>
      <c r="R6" s="22"/>
      <c r="S6" s="12" t="str">
        <f aca="false">"620,0"</f>
        <v>620,0</v>
      </c>
      <c r="T6" s="43" t="str">
        <f aca="false">"379,5950"</f>
        <v>379,5950</v>
      </c>
      <c r="U6" s="14" t="s">
        <v>22</v>
      </c>
    </row>
    <row r="8" customFormat="false" ht="15.6" hidden="false" customHeight="false" outlineLevel="0" collapsed="false">
      <c r="A8" s="15" t="s">
        <v>228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customFormat="false" ht="13.2" hidden="false" customHeight="false" outlineLevel="0" collapsed="false">
      <c r="A9" s="14" t="s">
        <v>1039</v>
      </c>
      <c r="B9" s="14" t="s">
        <v>1040</v>
      </c>
      <c r="C9" s="14" t="s">
        <v>1041</v>
      </c>
      <c r="D9" s="14" t="str">
        <f aca="false">"0,5763"</f>
        <v>0,5763</v>
      </c>
      <c r="E9" s="14" t="s">
        <v>14</v>
      </c>
      <c r="F9" s="14" t="s">
        <v>830</v>
      </c>
      <c r="G9" s="13" t="s">
        <v>505</v>
      </c>
      <c r="H9" s="13" t="s">
        <v>448</v>
      </c>
      <c r="I9" s="13" t="s">
        <v>1042</v>
      </c>
      <c r="J9" s="22"/>
      <c r="K9" s="13" t="s">
        <v>421</v>
      </c>
      <c r="L9" s="13" t="s">
        <v>512</v>
      </c>
      <c r="M9" s="22" t="s">
        <v>427</v>
      </c>
      <c r="N9" s="22"/>
      <c r="O9" s="13" t="s">
        <v>448</v>
      </c>
      <c r="P9" s="13" t="s">
        <v>1043</v>
      </c>
      <c r="Q9" s="13" t="s">
        <v>1044</v>
      </c>
      <c r="R9" s="22"/>
      <c r="S9" s="12" t="str">
        <f aca="false">"730,0"</f>
        <v>730,0</v>
      </c>
      <c r="T9" s="43" t="str">
        <f aca="false">"420,6990"</f>
        <v>420,6990</v>
      </c>
      <c r="U9" s="14" t="s">
        <v>22</v>
      </c>
    </row>
    <row r="11" customFormat="false" ht="15" hidden="false" customHeight="false" outlineLevel="0" collapsed="false">
      <c r="E11" s="23" t="s">
        <v>53</v>
      </c>
    </row>
    <row r="12" customFormat="false" ht="15" hidden="false" customHeight="false" outlineLevel="0" collapsed="false">
      <c r="E12" s="23" t="s">
        <v>54</v>
      </c>
    </row>
    <row r="13" customFormat="false" ht="15" hidden="false" customHeight="false" outlineLevel="0" collapsed="false">
      <c r="E13" s="23" t="s">
        <v>55</v>
      </c>
    </row>
    <row r="14" customFormat="false" ht="15" hidden="false" customHeight="false" outlineLevel="0" collapsed="false">
      <c r="E14" s="23" t="s">
        <v>56</v>
      </c>
    </row>
    <row r="15" customFormat="false" ht="15" hidden="false" customHeight="false" outlineLevel="0" collapsed="false">
      <c r="E15" s="23" t="s">
        <v>56</v>
      </c>
    </row>
    <row r="16" customFormat="false" ht="15" hidden="false" customHeight="false" outlineLevel="0" collapsed="false">
      <c r="E16" s="23" t="s">
        <v>57</v>
      </c>
    </row>
    <row r="17" customFormat="false" ht="15" hidden="false" customHeight="false" outlineLevel="0" collapsed="false">
      <c r="E17" s="23"/>
    </row>
    <row r="19" customFormat="false" ht="17.4" hidden="false" customHeight="false" outlineLevel="0" collapsed="false">
      <c r="A19" s="50" t="s">
        <v>58</v>
      </c>
      <c r="B19" s="50"/>
    </row>
    <row r="20" customFormat="false" ht="15.6" hidden="false" customHeight="false" outlineLevel="0" collapsed="false">
      <c r="A20" s="51" t="s">
        <v>69</v>
      </c>
      <c r="B20" s="51"/>
    </row>
    <row r="21" customFormat="false" ht="14.4" hidden="false" customHeight="false" outlineLevel="0" collapsed="false">
      <c r="A21" s="52"/>
      <c r="B21" s="53" t="s">
        <v>60</v>
      </c>
    </row>
    <row r="22" customFormat="false" ht="13.8" hidden="false" customHeight="false" outlineLevel="0" collapsed="false">
      <c r="A22" s="29" t="s">
        <v>61</v>
      </c>
      <c r="B22" s="29" t="s">
        <v>62</v>
      </c>
      <c r="C22" s="29" t="s">
        <v>63</v>
      </c>
      <c r="D22" s="29" t="s">
        <v>841</v>
      </c>
      <c r="E22" s="29" t="s">
        <v>65</v>
      </c>
    </row>
    <row r="23" customFormat="false" ht="13.2" hidden="false" customHeight="false" outlineLevel="0" collapsed="false">
      <c r="A23" s="54" t="s">
        <v>1045</v>
      </c>
      <c r="B23" s="33" t="s">
        <v>60</v>
      </c>
      <c r="C23" s="33" t="s">
        <v>253</v>
      </c>
      <c r="D23" s="33" t="s">
        <v>1046</v>
      </c>
      <c r="E23" s="1" t="s">
        <v>1047</v>
      </c>
    </row>
    <row r="24" customFormat="false" ht="13.2" hidden="false" customHeight="false" outlineLevel="0" collapsed="false">
      <c r="A24" s="54" t="s">
        <v>1048</v>
      </c>
      <c r="B24" s="33" t="s">
        <v>60</v>
      </c>
      <c r="C24" s="33" t="s">
        <v>78</v>
      </c>
      <c r="D24" s="33" t="s">
        <v>1049</v>
      </c>
      <c r="E24" s="1" t="s">
        <v>1050</v>
      </c>
    </row>
  </sheetData>
  <mergeCells count="15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R5"/>
    <mergeCell ref="A8:R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3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9.12109375" defaultRowHeight="13.2" zeroHeight="false" outlineLevelRow="0" outlineLevelCol="0"/>
  <cols>
    <col collapsed="false" customWidth="true" hidden="false" outlineLevel="0" max="1" min="1" style="33" width="24.67"/>
    <col collapsed="false" customWidth="true" hidden="false" outlineLevel="0" max="2" min="2" style="33" width="28.99"/>
    <col collapsed="false" customWidth="true" hidden="false" outlineLevel="0" max="3" min="3" style="33" width="14.88"/>
    <col collapsed="false" customWidth="true" hidden="false" outlineLevel="0" max="4" min="4" style="33" width="8.21"/>
    <col collapsed="false" customWidth="true" hidden="false" outlineLevel="0" max="5" min="5" style="33" width="21.78"/>
    <col collapsed="false" customWidth="true" hidden="false" outlineLevel="0" max="6" min="6" style="33" width="31.44"/>
    <col collapsed="false" customWidth="true" hidden="false" outlineLevel="0" max="9" min="7" style="34" width="5.55"/>
    <col collapsed="false" customWidth="true" hidden="false" outlineLevel="0" max="10" min="10" style="34" width="4.56"/>
    <col collapsed="false" customWidth="true" hidden="false" outlineLevel="0" max="13" min="11" style="34" width="5.55"/>
    <col collapsed="false" customWidth="true" hidden="false" outlineLevel="0" max="14" min="14" style="34" width="4.56"/>
    <col collapsed="false" customWidth="true" hidden="false" outlineLevel="0" max="17" min="15" style="34" width="5.55"/>
    <col collapsed="false" customWidth="true" hidden="false" outlineLevel="0" max="18" min="18" style="34" width="4.56"/>
    <col collapsed="false" customWidth="true" hidden="false" outlineLevel="0" max="19" min="19" style="1" width="7.67"/>
    <col collapsed="false" customWidth="true" hidden="false" outlineLevel="0" max="20" min="20" style="35" width="8.56"/>
    <col collapsed="false" customWidth="true" hidden="false" outlineLevel="0" max="21" min="21" style="33" width="8.33"/>
    <col collapsed="false" customWidth="false" hidden="false" outlineLevel="0" max="1024" min="22" style="34" width="9.11"/>
  </cols>
  <sheetData>
    <row r="1" s="35" customFormat="true" ht="28.95" hidden="false" customHeight="true" outlineLevel="0" collapsed="false">
      <c r="A1" s="36" t="s">
        <v>1051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="35" customFormat="true" ht="61.95" hidden="false" customHeight="true" outlineLevel="0" collapsed="false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="9" customFormat="true" ht="12.75" hidden="false" customHeight="true" outlineLevel="0" collapsed="false">
      <c r="A3" s="37" t="s">
        <v>1</v>
      </c>
      <c r="B3" s="38" t="s">
        <v>2</v>
      </c>
      <c r="C3" s="38" t="s">
        <v>186</v>
      </c>
      <c r="D3" s="39" t="s">
        <v>4</v>
      </c>
      <c r="E3" s="39" t="s">
        <v>5</v>
      </c>
      <c r="F3" s="39" t="s">
        <v>6</v>
      </c>
      <c r="G3" s="40" t="s">
        <v>822</v>
      </c>
      <c r="H3" s="40"/>
      <c r="I3" s="40"/>
      <c r="J3" s="40"/>
      <c r="K3" s="40" t="s">
        <v>527</v>
      </c>
      <c r="L3" s="40"/>
      <c r="M3" s="40"/>
      <c r="N3" s="40"/>
      <c r="O3" s="40" t="s">
        <v>386</v>
      </c>
      <c r="P3" s="40"/>
      <c r="Q3" s="40"/>
      <c r="R3" s="40"/>
      <c r="S3" s="39" t="s">
        <v>823</v>
      </c>
      <c r="T3" s="39" t="s">
        <v>189</v>
      </c>
      <c r="U3" s="41" t="s">
        <v>190</v>
      </c>
    </row>
    <row r="4" s="9" customFormat="true" ht="21" hidden="false" customHeight="true" outlineLevel="0" collapsed="false">
      <c r="A4" s="37"/>
      <c r="B4" s="38"/>
      <c r="C4" s="38"/>
      <c r="D4" s="38"/>
      <c r="E4" s="38"/>
      <c r="F4" s="38"/>
      <c r="G4" s="42" t="n">
        <v>1</v>
      </c>
      <c r="H4" s="42" t="n">
        <v>2</v>
      </c>
      <c r="I4" s="42" t="n">
        <v>3</v>
      </c>
      <c r="J4" s="42" t="s">
        <v>265</v>
      </c>
      <c r="K4" s="42" t="n">
        <v>1</v>
      </c>
      <c r="L4" s="42" t="n">
        <v>2</v>
      </c>
      <c r="M4" s="42" t="n">
        <v>3</v>
      </c>
      <c r="N4" s="42" t="s">
        <v>265</v>
      </c>
      <c r="O4" s="42" t="n">
        <v>1</v>
      </c>
      <c r="P4" s="42" t="n">
        <v>2</v>
      </c>
      <c r="Q4" s="42" t="n">
        <v>3</v>
      </c>
      <c r="R4" s="42" t="s">
        <v>265</v>
      </c>
      <c r="S4" s="39"/>
      <c r="T4" s="39"/>
      <c r="U4" s="41"/>
    </row>
    <row r="5" customFormat="false" ht="15.6" hidden="false" customHeight="false" outlineLevel="0" collapsed="false">
      <c r="A5" s="11" t="s">
        <v>213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customFormat="false" ht="13.2" hidden="false" customHeight="false" outlineLevel="0" collapsed="false">
      <c r="A6" s="18" t="s">
        <v>509</v>
      </c>
      <c r="B6" s="18" t="s">
        <v>510</v>
      </c>
      <c r="C6" s="18" t="s">
        <v>511</v>
      </c>
      <c r="D6" s="18" t="str">
        <f aca="false">"0,7962"</f>
        <v>0,7962</v>
      </c>
      <c r="E6" s="18" t="s">
        <v>14</v>
      </c>
      <c r="F6" s="18" t="s">
        <v>39</v>
      </c>
      <c r="G6" s="17" t="s">
        <v>116</v>
      </c>
      <c r="H6" s="17" t="s">
        <v>117</v>
      </c>
      <c r="I6" s="17" t="s">
        <v>421</v>
      </c>
      <c r="J6" s="32"/>
      <c r="K6" s="17" t="s">
        <v>41</v>
      </c>
      <c r="L6" s="17" t="s">
        <v>50</v>
      </c>
      <c r="M6" s="32" t="s">
        <v>594</v>
      </c>
      <c r="N6" s="32"/>
      <c r="O6" s="17" t="s">
        <v>421</v>
      </c>
      <c r="P6" s="17" t="s">
        <v>512</v>
      </c>
      <c r="Q6" s="17" t="s">
        <v>426</v>
      </c>
      <c r="R6" s="32"/>
      <c r="S6" s="16" t="str">
        <f aca="false">"455,0"</f>
        <v>455,0</v>
      </c>
      <c r="T6" s="44" t="str">
        <f aca="false">"362,2483"</f>
        <v>362,2483</v>
      </c>
      <c r="U6" s="18" t="s">
        <v>22</v>
      </c>
    </row>
    <row r="7" customFormat="false" ht="13.2" hidden="false" customHeight="false" outlineLevel="0" collapsed="false">
      <c r="A7" s="21" t="s">
        <v>509</v>
      </c>
      <c r="B7" s="21" t="s">
        <v>1052</v>
      </c>
      <c r="C7" s="21" t="s">
        <v>511</v>
      </c>
      <c r="D7" s="21" t="str">
        <f aca="false">"0,7962"</f>
        <v>0,7962</v>
      </c>
      <c r="E7" s="21" t="s">
        <v>14</v>
      </c>
      <c r="F7" s="21" t="s">
        <v>39</v>
      </c>
      <c r="G7" s="20" t="s">
        <v>116</v>
      </c>
      <c r="H7" s="20" t="s">
        <v>117</v>
      </c>
      <c r="I7" s="20" t="s">
        <v>421</v>
      </c>
      <c r="J7" s="31"/>
      <c r="K7" s="20" t="s">
        <v>41</v>
      </c>
      <c r="L7" s="20" t="s">
        <v>50</v>
      </c>
      <c r="M7" s="31" t="s">
        <v>594</v>
      </c>
      <c r="N7" s="31"/>
      <c r="O7" s="20" t="s">
        <v>421</v>
      </c>
      <c r="P7" s="20" t="s">
        <v>512</v>
      </c>
      <c r="Q7" s="20" t="s">
        <v>426</v>
      </c>
      <c r="R7" s="31"/>
      <c r="S7" s="19" t="str">
        <f aca="false">"455,0"</f>
        <v>455,0</v>
      </c>
      <c r="T7" s="49" t="str">
        <f aca="false">"362,2483"</f>
        <v>362,2483</v>
      </c>
      <c r="U7" s="21" t="s">
        <v>22</v>
      </c>
    </row>
    <row r="9" customFormat="false" ht="15.6" hidden="false" customHeight="false" outlineLevel="0" collapsed="false">
      <c r="A9" s="15" t="s">
        <v>213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customFormat="false" ht="13.2" hidden="false" customHeight="false" outlineLevel="0" collapsed="false">
      <c r="A10" s="18" t="s">
        <v>1053</v>
      </c>
      <c r="B10" s="18" t="s">
        <v>1054</v>
      </c>
      <c r="C10" s="18" t="s">
        <v>1055</v>
      </c>
      <c r="D10" s="18" t="str">
        <f aca="false">"0,6768"</f>
        <v>0,6768</v>
      </c>
      <c r="E10" s="18" t="s">
        <v>14</v>
      </c>
      <c r="F10" s="18" t="s">
        <v>873</v>
      </c>
      <c r="G10" s="17" t="s">
        <v>109</v>
      </c>
      <c r="H10" s="17" t="s">
        <v>117</v>
      </c>
      <c r="I10" s="32" t="s">
        <v>421</v>
      </c>
      <c r="J10" s="32"/>
      <c r="K10" s="17" t="s">
        <v>107</v>
      </c>
      <c r="L10" s="17" t="s">
        <v>402</v>
      </c>
      <c r="M10" s="17" t="s">
        <v>393</v>
      </c>
      <c r="N10" s="32"/>
      <c r="O10" s="17" t="s">
        <v>512</v>
      </c>
      <c r="P10" s="17" t="s">
        <v>437</v>
      </c>
      <c r="Q10" s="17" t="s">
        <v>438</v>
      </c>
      <c r="R10" s="32"/>
      <c r="S10" s="16" t="str">
        <f aca="false">"502,5"</f>
        <v>502,5</v>
      </c>
      <c r="T10" s="44" t="str">
        <f aca="false">"340,0669"</f>
        <v>340,0669</v>
      </c>
      <c r="U10" s="18" t="s">
        <v>22</v>
      </c>
    </row>
    <row r="11" customFormat="false" ht="13.2" hidden="false" customHeight="false" outlineLevel="0" collapsed="false">
      <c r="A11" s="21" t="s">
        <v>1056</v>
      </c>
      <c r="B11" s="21" t="s">
        <v>1057</v>
      </c>
      <c r="C11" s="21" t="s">
        <v>1058</v>
      </c>
      <c r="D11" s="21" t="str">
        <f aca="false">"0,6724"</f>
        <v>0,6724</v>
      </c>
      <c r="E11" s="21" t="s">
        <v>14</v>
      </c>
      <c r="F11" s="21" t="s">
        <v>873</v>
      </c>
      <c r="G11" s="20" t="s">
        <v>50</v>
      </c>
      <c r="H11" s="20" t="s">
        <v>108</v>
      </c>
      <c r="I11" s="20" t="s">
        <v>109</v>
      </c>
      <c r="J11" s="31"/>
      <c r="K11" s="20" t="s">
        <v>31</v>
      </c>
      <c r="L11" s="20" t="s">
        <v>40</v>
      </c>
      <c r="M11" s="20" t="s">
        <v>41</v>
      </c>
      <c r="N11" s="31"/>
      <c r="O11" s="20" t="s">
        <v>116</v>
      </c>
      <c r="P11" s="20" t="s">
        <v>421</v>
      </c>
      <c r="Q11" s="20" t="s">
        <v>426</v>
      </c>
      <c r="R11" s="31"/>
      <c r="S11" s="19" t="str">
        <f aca="false">"410,0"</f>
        <v>410,0</v>
      </c>
      <c r="T11" s="49" t="str">
        <f aca="false">"275,6840"</f>
        <v>275,6840</v>
      </c>
      <c r="U11" s="21" t="s">
        <v>22</v>
      </c>
    </row>
    <row r="13" customFormat="false" ht="15" hidden="false" customHeight="false" outlineLevel="0" collapsed="false">
      <c r="E13" s="23" t="s">
        <v>53</v>
      </c>
    </row>
    <row r="14" customFormat="false" ht="15" hidden="false" customHeight="false" outlineLevel="0" collapsed="false">
      <c r="E14" s="23" t="s">
        <v>54</v>
      </c>
    </row>
    <row r="15" customFormat="false" ht="15" hidden="false" customHeight="false" outlineLevel="0" collapsed="false">
      <c r="E15" s="23" t="s">
        <v>55</v>
      </c>
    </row>
    <row r="16" customFormat="false" ht="15" hidden="false" customHeight="false" outlineLevel="0" collapsed="false">
      <c r="E16" s="23" t="s">
        <v>56</v>
      </c>
    </row>
    <row r="17" customFormat="false" ht="15" hidden="false" customHeight="false" outlineLevel="0" collapsed="false">
      <c r="E17" s="23" t="s">
        <v>56</v>
      </c>
    </row>
    <row r="18" customFormat="false" ht="15" hidden="false" customHeight="false" outlineLevel="0" collapsed="false">
      <c r="E18" s="23" t="s">
        <v>57</v>
      </c>
    </row>
    <row r="19" customFormat="false" ht="15" hidden="false" customHeight="false" outlineLevel="0" collapsed="false">
      <c r="E19" s="23"/>
    </row>
    <row r="21" customFormat="false" ht="17.4" hidden="false" customHeight="false" outlineLevel="0" collapsed="false">
      <c r="A21" s="50" t="s">
        <v>58</v>
      </c>
      <c r="B21" s="50"/>
    </row>
    <row r="22" customFormat="false" ht="15.6" hidden="false" customHeight="false" outlineLevel="0" collapsed="false">
      <c r="A22" s="51" t="s">
        <v>59</v>
      </c>
      <c r="B22" s="51"/>
    </row>
    <row r="23" customFormat="false" ht="14.4" hidden="false" customHeight="false" outlineLevel="0" collapsed="false">
      <c r="A23" s="52"/>
      <c r="B23" s="53" t="s">
        <v>467</v>
      </c>
    </row>
    <row r="24" customFormat="false" ht="13.8" hidden="false" customHeight="false" outlineLevel="0" collapsed="false">
      <c r="A24" s="29" t="s">
        <v>61</v>
      </c>
      <c r="B24" s="29" t="s">
        <v>62</v>
      </c>
      <c r="C24" s="29" t="s">
        <v>63</v>
      </c>
      <c r="D24" s="29" t="s">
        <v>841</v>
      </c>
      <c r="E24" s="29" t="s">
        <v>65</v>
      </c>
    </row>
    <row r="25" customFormat="false" ht="13.2" hidden="false" customHeight="false" outlineLevel="0" collapsed="false">
      <c r="A25" s="54" t="s">
        <v>520</v>
      </c>
      <c r="B25" s="33" t="s">
        <v>348</v>
      </c>
      <c r="C25" s="33" t="s">
        <v>244</v>
      </c>
      <c r="D25" s="33" t="s">
        <v>1059</v>
      </c>
      <c r="E25" s="1" t="s">
        <v>1060</v>
      </c>
    </row>
    <row r="27" customFormat="false" ht="14.4" hidden="false" customHeight="false" outlineLevel="0" collapsed="false">
      <c r="A27" s="52"/>
      <c r="B27" s="53" t="s">
        <v>60</v>
      </c>
    </row>
    <row r="28" customFormat="false" ht="13.8" hidden="false" customHeight="false" outlineLevel="0" collapsed="false">
      <c r="A28" s="29" t="s">
        <v>61</v>
      </c>
      <c r="B28" s="29" t="s">
        <v>62</v>
      </c>
      <c r="C28" s="29" t="s">
        <v>63</v>
      </c>
      <c r="D28" s="29" t="s">
        <v>841</v>
      </c>
      <c r="E28" s="29" t="s">
        <v>65</v>
      </c>
    </row>
    <row r="29" customFormat="false" ht="13.2" hidden="false" customHeight="false" outlineLevel="0" collapsed="false">
      <c r="A29" s="54" t="s">
        <v>520</v>
      </c>
      <c r="B29" s="33" t="s">
        <v>60</v>
      </c>
      <c r="C29" s="33" t="s">
        <v>244</v>
      </c>
      <c r="D29" s="33" t="s">
        <v>1059</v>
      </c>
      <c r="E29" s="1" t="s">
        <v>1060</v>
      </c>
    </row>
    <row r="32" customFormat="false" ht="15.6" hidden="false" customHeight="false" outlineLevel="0" collapsed="false">
      <c r="A32" s="51" t="s">
        <v>69</v>
      </c>
      <c r="B32" s="51"/>
    </row>
    <row r="33" customFormat="false" ht="14.4" hidden="false" customHeight="false" outlineLevel="0" collapsed="false">
      <c r="A33" s="52"/>
      <c r="B33" s="53" t="s">
        <v>70</v>
      </c>
    </row>
    <row r="34" customFormat="false" ht="13.8" hidden="false" customHeight="false" outlineLevel="0" collapsed="false">
      <c r="A34" s="29" t="s">
        <v>61</v>
      </c>
      <c r="B34" s="29" t="s">
        <v>62</v>
      </c>
      <c r="C34" s="29" t="s">
        <v>63</v>
      </c>
      <c r="D34" s="29" t="s">
        <v>841</v>
      </c>
      <c r="E34" s="29" t="s">
        <v>65</v>
      </c>
    </row>
    <row r="35" customFormat="false" ht="13.2" hidden="false" customHeight="false" outlineLevel="0" collapsed="false">
      <c r="A35" s="54" t="s">
        <v>1061</v>
      </c>
      <c r="B35" s="33" t="s">
        <v>336</v>
      </c>
      <c r="C35" s="33" t="s">
        <v>244</v>
      </c>
      <c r="D35" s="33" t="s">
        <v>1062</v>
      </c>
      <c r="E35" s="1" t="s">
        <v>1063</v>
      </c>
    </row>
    <row r="37" customFormat="false" ht="14.4" hidden="false" customHeight="false" outlineLevel="0" collapsed="false">
      <c r="A37" s="52"/>
      <c r="B37" s="53" t="s">
        <v>60</v>
      </c>
    </row>
    <row r="38" customFormat="false" ht="13.8" hidden="false" customHeight="false" outlineLevel="0" collapsed="false">
      <c r="A38" s="29" t="s">
        <v>61</v>
      </c>
      <c r="B38" s="29" t="s">
        <v>62</v>
      </c>
      <c r="C38" s="29" t="s">
        <v>63</v>
      </c>
      <c r="D38" s="29" t="s">
        <v>841</v>
      </c>
      <c r="E38" s="29" t="s">
        <v>65</v>
      </c>
    </row>
    <row r="39" customFormat="false" ht="13.2" hidden="false" customHeight="false" outlineLevel="0" collapsed="false">
      <c r="A39" s="54" t="s">
        <v>1064</v>
      </c>
      <c r="B39" s="33" t="s">
        <v>60</v>
      </c>
      <c r="C39" s="33" t="s">
        <v>244</v>
      </c>
      <c r="D39" s="33" t="s">
        <v>1065</v>
      </c>
      <c r="E39" s="1" t="s">
        <v>1066</v>
      </c>
    </row>
  </sheetData>
  <mergeCells count="15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R5"/>
    <mergeCell ref="A9:R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109375" defaultRowHeight="13.2" zeroHeight="false" outlineLevelRow="0" outlineLevelCol="0"/>
  <cols>
    <col collapsed="false" customWidth="true" hidden="false" outlineLevel="0" max="1" min="1" style="1" width="26.66"/>
    <col collapsed="false" customWidth="true" hidden="false" outlineLevel="0" max="2" min="2" style="2" width="25.21"/>
    <col collapsed="false" customWidth="true" hidden="false" outlineLevel="0" max="3" min="3" style="2" width="10.11"/>
    <col collapsed="false" customWidth="true" hidden="false" outlineLevel="0" max="4" min="4" style="2" width="11.89"/>
    <col collapsed="false" customWidth="true" hidden="false" outlineLevel="0" max="5" min="5" style="3" width="21.78"/>
    <col collapsed="false" customWidth="true" hidden="false" outlineLevel="0" max="6" min="6" style="3" width="30.89"/>
    <col collapsed="false" customWidth="true" hidden="false" outlineLevel="0" max="10" min="7" style="2" width="4.56"/>
    <col collapsed="false" customWidth="true" hidden="false" outlineLevel="0" max="11" min="11" style="2" width="7"/>
    <col collapsed="false" customWidth="true" hidden="false" outlineLevel="0" max="12" min="12" style="2" width="10"/>
    <col collapsed="false" customWidth="true" hidden="false" outlineLevel="0" max="13" min="13" style="2" width="1.56"/>
    <col collapsed="false" customWidth="false" hidden="false" outlineLevel="0" max="1024" min="14" style="2" width="9.11"/>
  </cols>
  <sheetData>
    <row r="1" customFormat="false" ht="28.95" hidden="false" customHeight="true" outlineLevel="0" collapsed="false">
      <c r="A1" s="4" t="s">
        <v>87</v>
      </c>
      <c r="B1" s="4"/>
      <c r="C1" s="4"/>
      <c r="D1" s="4"/>
      <c r="E1" s="4"/>
      <c r="F1" s="4"/>
      <c r="G1" s="4"/>
      <c r="H1" s="4"/>
      <c r="I1" s="4"/>
      <c r="J1" s="4"/>
    </row>
    <row r="2" customFormat="false" ht="61.95" hidden="false" customHeight="true" outlineLevel="0" collapsed="false">
      <c r="A2" s="4"/>
      <c r="B2" s="4"/>
      <c r="C2" s="4"/>
      <c r="D2" s="4"/>
      <c r="E2" s="4"/>
      <c r="F2" s="4"/>
      <c r="G2" s="4"/>
      <c r="H2" s="4"/>
      <c r="I2" s="4"/>
      <c r="J2" s="4"/>
    </row>
    <row r="3" s="9" customFormat="true" ht="12.75" hidden="false" customHeight="true" outlineLevel="0" collapsed="false">
      <c r="A3" s="5" t="s">
        <v>1</v>
      </c>
      <c r="B3" s="6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8"/>
      <c r="I3" s="8"/>
      <c r="J3" s="8"/>
      <c r="K3" s="9" t="s">
        <v>8</v>
      </c>
    </row>
    <row r="4" s="9" customFormat="true" ht="21" hidden="false" customHeight="true" outlineLevel="0" collapsed="false">
      <c r="A4" s="5"/>
      <c r="B4" s="6"/>
      <c r="C4" s="6"/>
      <c r="D4" s="6"/>
      <c r="E4" s="6"/>
      <c r="F4" s="6"/>
      <c r="G4" s="10" t="n">
        <v>1</v>
      </c>
      <c r="H4" s="10" t="n">
        <v>2</v>
      </c>
      <c r="I4" s="10" t="n">
        <v>3</v>
      </c>
      <c r="J4" s="10" t="s">
        <v>9</v>
      </c>
    </row>
    <row r="5" customFormat="false" ht="15.6" hidden="false" customHeight="false" outlineLevel="0" collapsed="false">
      <c r="A5" s="11" t="s">
        <v>10</v>
      </c>
      <c r="B5" s="11"/>
      <c r="C5" s="11"/>
      <c r="D5" s="11"/>
      <c r="E5" s="11"/>
      <c r="F5" s="11"/>
      <c r="G5" s="11"/>
      <c r="H5" s="11"/>
      <c r="I5" s="11"/>
      <c r="J5" s="11"/>
    </row>
    <row r="6" customFormat="false" ht="13.2" hidden="false" customHeight="false" outlineLevel="0" collapsed="false">
      <c r="A6" s="12" t="s">
        <v>11</v>
      </c>
      <c r="B6" s="13" t="s">
        <v>12</v>
      </c>
      <c r="C6" s="13" t="s">
        <v>13</v>
      </c>
      <c r="D6" s="13" t="str">
        <f aca="false">"0,9028"</f>
        <v>0,9028</v>
      </c>
      <c r="E6" s="14" t="s">
        <v>14</v>
      </c>
      <c r="F6" s="14" t="s">
        <v>15</v>
      </c>
      <c r="G6" s="13" t="s">
        <v>88</v>
      </c>
      <c r="H6" s="13" t="s">
        <v>89</v>
      </c>
      <c r="I6" s="13" t="s">
        <v>90</v>
      </c>
      <c r="J6" s="22" t="s">
        <v>91</v>
      </c>
      <c r="K6" s="13" t="s">
        <v>92</v>
      </c>
      <c r="L6" s="13" t="s">
        <v>93</v>
      </c>
      <c r="M6" s="13" t="s">
        <v>22</v>
      </c>
    </row>
    <row r="8" customFormat="false" ht="15" hidden="false" customHeight="false" outlineLevel="0" collapsed="false">
      <c r="E8" s="23" t="s">
        <v>53</v>
      </c>
    </row>
    <row r="9" customFormat="false" ht="15" hidden="false" customHeight="false" outlineLevel="0" collapsed="false">
      <c r="E9" s="23" t="s">
        <v>54</v>
      </c>
    </row>
    <row r="10" customFormat="false" ht="15" hidden="false" customHeight="false" outlineLevel="0" collapsed="false">
      <c r="E10" s="23" t="s">
        <v>55</v>
      </c>
    </row>
    <row r="11" customFormat="false" ht="15" hidden="false" customHeight="false" outlineLevel="0" collapsed="false">
      <c r="E11" s="23" t="s">
        <v>56</v>
      </c>
    </row>
    <row r="12" customFormat="false" ht="15" hidden="false" customHeight="false" outlineLevel="0" collapsed="false">
      <c r="E12" s="23" t="s">
        <v>56</v>
      </c>
    </row>
    <row r="13" customFormat="false" ht="15" hidden="false" customHeight="false" outlineLevel="0" collapsed="false">
      <c r="E13" s="23" t="s">
        <v>57</v>
      </c>
    </row>
    <row r="14" customFormat="false" ht="15" hidden="false" customHeight="false" outlineLevel="0" collapsed="false">
      <c r="E14" s="23"/>
    </row>
    <row r="16" customFormat="false" ht="17.4" hidden="false" customHeight="false" outlineLevel="0" collapsed="false">
      <c r="A16" s="24" t="s">
        <v>58</v>
      </c>
      <c r="B16" s="25"/>
    </row>
    <row r="17" customFormat="false" ht="15.6" hidden="false" customHeight="false" outlineLevel="0" collapsed="false">
      <c r="A17" s="26" t="s">
        <v>59</v>
      </c>
      <c r="B17" s="15"/>
    </row>
    <row r="18" customFormat="false" ht="14.4" hidden="false" customHeight="false" outlineLevel="0" collapsed="false">
      <c r="A18" s="27"/>
      <c r="B18" s="28" t="s">
        <v>60</v>
      </c>
    </row>
    <row r="19" customFormat="false" ht="13.8" hidden="false" customHeight="false" outlineLevel="0" collapsed="false">
      <c r="A19" s="29" t="s">
        <v>61</v>
      </c>
      <c r="B19" s="29" t="s">
        <v>62</v>
      </c>
      <c r="C19" s="29" t="s">
        <v>63</v>
      </c>
      <c r="D19" s="29" t="s">
        <v>64</v>
      </c>
      <c r="E19" s="29" t="s">
        <v>65</v>
      </c>
    </row>
    <row r="20" customFormat="false" ht="13.2" hidden="false" customHeight="false" outlineLevel="0" collapsed="false">
      <c r="A20" s="30" t="s">
        <v>66</v>
      </c>
      <c r="B20" s="2" t="s">
        <v>60</v>
      </c>
      <c r="C20" s="2" t="s">
        <v>67</v>
      </c>
      <c r="D20" s="2" t="s">
        <v>90</v>
      </c>
      <c r="E20" s="1" t="s">
        <v>94</v>
      </c>
    </row>
  </sheetData>
  <mergeCells count="9">
    <mergeCell ref="A1:J2"/>
    <mergeCell ref="A3:A4"/>
    <mergeCell ref="B3:B4"/>
    <mergeCell ref="C3:C4"/>
    <mergeCell ref="D3:D4"/>
    <mergeCell ref="E3:E4"/>
    <mergeCell ref="F3:F4"/>
    <mergeCell ref="G3:J3"/>
    <mergeCell ref="A5:J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4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109375" defaultRowHeight="13.2" zeroHeight="false" outlineLevelRow="0" outlineLevelCol="0"/>
  <cols>
    <col collapsed="false" customWidth="true" hidden="false" outlineLevel="0" max="1" min="1" style="1" width="26.66"/>
    <col collapsed="false" customWidth="true" hidden="false" outlineLevel="0" max="2" min="2" style="2" width="26"/>
    <col collapsed="false" customWidth="true" hidden="false" outlineLevel="0" max="3" min="3" style="2" width="10.11"/>
    <col collapsed="false" customWidth="true" hidden="false" outlineLevel="0" max="4" min="4" style="2" width="11.89"/>
    <col collapsed="false" customWidth="true" hidden="false" outlineLevel="0" max="5" min="5" style="3" width="21.78"/>
    <col collapsed="false" customWidth="true" hidden="false" outlineLevel="0" max="6" min="6" style="3" width="25"/>
    <col collapsed="false" customWidth="true" hidden="false" outlineLevel="0" max="10" min="7" style="2" width="5.55"/>
    <col collapsed="false" customWidth="true" hidden="false" outlineLevel="0" max="11" min="11" style="2" width="8"/>
    <col collapsed="false" customWidth="true" hidden="false" outlineLevel="0" max="12" min="12" style="2" width="10.99"/>
    <col collapsed="false" customWidth="true" hidden="false" outlineLevel="0" max="13" min="13" style="2" width="1.56"/>
    <col collapsed="false" customWidth="false" hidden="false" outlineLevel="0" max="1024" min="14" style="2" width="9.11"/>
  </cols>
  <sheetData>
    <row r="1" customFormat="false" ht="28.95" hidden="false" customHeight="true" outlineLevel="0" collapsed="false">
      <c r="A1" s="4" t="s">
        <v>95</v>
      </c>
      <c r="B1" s="4"/>
      <c r="C1" s="4"/>
      <c r="D1" s="4"/>
      <c r="E1" s="4"/>
      <c r="F1" s="4"/>
      <c r="G1" s="4"/>
      <c r="H1" s="4"/>
      <c r="I1" s="4"/>
      <c r="J1" s="4"/>
    </row>
    <row r="2" customFormat="false" ht="61.95" hidden="false" customHeight="true" outlineLevel="0" collapsed="false">
      <c r="A2" s="4"/>
      <c r="B2" s="4"/>
      <c r="C2" s="4"/>
      <c r="D2" s="4"/>
      <c r="E2" s="4"/>
      <c r="F2" s="4"/>
      <c r="G2" s="4"/>
      <c r="H2" s="4"/>
      <c r="I2" s="4"/>
      <c r="J2" s="4"/>
    </row>
    <row r="3" s="9" customFormat="true" ht="12.75" hidden="false" customHeight="true" outlineLevel="0" collapsed="false">
      <c r="A3" s="5" t="s">
        <v>1</v>
      </c>
      <c r="B3" s="6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8"/>
      <c r="I3" s="8"/>
      <c r="J3" s="8"/>
      <c r="K3" s="9" t="s">
        <v>8</v>
      </c>
    </row>
    <row r="4" s="9" customFormat="true" ht="21" hidden="false" customHeight="true" outlineLevel="0" collapsed="false">
      <c r="A4" s="5"/>
      <c r="B4" s="6"/>
      <c r="C4" s="6"/>
      <c r="D4" s="6"/>
      <c r="E4" s="6"/>
      <c r="F4" s="6"/>
      <c r="G4" s="10" t="n">
        <v>1</v>
      </c>
      <c r="H4" s="10" t="n">
        <v>2</v>
      </c>
      <c r="I4" s="10" t="n">
        <v>3</v>
      </c>
      <c r="J4" s="10" t="s">
        <v>9</v>
      </c>
    </row>
    <row r="5" customFormat="false" ht="15.6" hidden="false" customHeight="false" outlineLevel="0" collapsed="false">
      <c r="A5" s="11" t="s">
        <v>23</v>
      </c>
      <c r="B5" s="11"/>
      <c r="C5" s="11"/>
      <c r="D5" s="11"/>
      <c r="E5" s="11"/>
      <c r="F5" s="11"/>
      <c r="G5" s="11"/>
      <c r="H5" s="11"/>
      <c r="I5" s="11"/>
      <c r="J5" s="11"/>
    </row>
    <row r="6" customFormat="false" ht="13.2" hidden="false" customHeight="false" outlineLevel="0" collapsed="false">
      <c r="A6" s="12" t="s">
        <v>96</v>
      </c>
      <c r="B6" s="13" t="s">
        <v>97</v>
      </c>
      <c r="C6" s="13" t="s">
        <v>98</v>
      </c>
      <c r="D6" s="13" t="str">
        <f aca="false">"0,8722"</f>
        <v>0,8722</v>
      </c>
      <c r="E6" s="14" t="s">
        <v>14</v>
      </c>
      <c r="F6" s="14" t="s">
        <v>27</v>
      </c>
      <c r="G6" s="13" t="s">
        <v>99</v>
      </c>
      <c r="H6" s="13" t="s">
        <v>100</v>
      </c>
      <c r="I6" s="13" t="s">
        <v>101</v>
      </c>
      <c r="J6" s="22" t="s">
        <v>31</v>
      </c>
      <c r="K6" s="13" t="s">
        <v>102</v>
      </c>
      <c r="L6" s="13" t="s">
        <v>103</v>
      </c>
      <c r="M6" s="13" t="s">
        <v>22</v>
      </c>
    </row>
    <row r="8" customFormat="false" ht="15.6" hidden="false" customHeight="false" outlineLevel="0" collapsed="false">
      <c r="A8" s="15" t="s">
        <v>23</v>
      </c>
      <c r="B8" s="15"/>
      <c r="C8" s="15"/>
      <c r="D8" s="15"/>
      <c r="E8" s="15"/>
      <c r="F8" s="15"/>
      <c r="G8" s="15"/>
      <c r="H8" s="15"/>
      <c r="I8" s="15"/>
      <c r="J8" s="15"/>
    </row>
    <row r="9" customFormat="false" ht="13.2" hidden="false" customHeight="false" outlineLevel="0" collapsed="false">
      <c r="A9" s="12" t="s">
        <v>104</v>
      </c>
      <c r="B9" s="13" t="s">
        <v>105</v>
      </c>
      <c r="C9" s="13" t="s">
        <v>106</v>
      </c>
      <c r="D9" s="13" t="str">
        <f aca="false">"0,6983"</f>
        <v>0,6983</v>
      </c>
      <c r="E9" s="14" t="s">
        <v>48</v>
      </c>
      <c r="F9" s="14" t="s">
        <v>39</v>
      </c>
      <c r="G9" s="13" t="s">
        <v>107</v>
      </c>
      <c r="H9" s="13" t="s">
        <v>108</v>
      </c>
      <c r="I9" s="22" t="s">
        <v>109</v>
      </c>
      <c r="J9" s="22"/>
      <c r="K9" s="13" t="s">
        <v>110</v>
      </c>
      <c r="L9" s="13" t="s">
        <v>111</v>
      </c>
      <c r="M9" s="13" t="s">
        <v>22</v>
      </c>
    </row>
    <row r="11" customFormat="false" ht="15.6" hidden="false" customHeight="false" outlineLevel="0" collapsed="false">
      <c r="A11" s="15" t="s">
        <v>44</v>
      </c>
      <c r="B11" s="15"/>
      <c r="C11" s="15"/>
      <c r="D11" s="15"/>
      <c r="E11" s="15"/>
      <c r="F11" s="15"/>
      <c r="G11" s="15"/>
      <c r="H11" s="15"/>
      <c r="I11" s="15"/>
      <c r="J11" s="15"/>
    </row>
    <row r="12" customFormat="false" ht="13.2" hidden="false" customHeight="false" outlineLevel="0" collapsed="false">
      <c r="A12" s="16" t="s">
        <v>112</v>
      </c>
      <c r="B12" s="17" t="s">
        <v>113</v>
      </c>
      <c r="C12" s="17" t="s">
        <v>114</v>
      </c>
      <c r="D12" s="17" t="str">
        <f aca="false">"0,5859"</f>
        <v>0,5859</v>
      </c>
      <c r="E12" s="18" t="s">
        <v>14</v>
      </c>
      <c r="F12" s="18" t="s">
        <v>39</v>
      </c>
      <c r="G12" s="17" t="s">
        <v>109</v>
      </c>
      <c r="H12" s="17" t="s">
        <v>115</v>
      </c>
      <c r="I12" s="17" t="s">
        <v>116</v>
      </c>
      <c r="J12" s="17" t="s">
        <v>117</v>
      </c>
      <c r="K12" s="17" t="s">
        <v>118</v>
      </c>
      <c r="L12" s="17" t="s">
        <v>119</v>
      </c>
      <c r="M12" s="17" t="s">
        <v>22</v>
      </c>
    </row>
    <row r="13" customFormat="false" ht="13.2" hidden="false" customHeight="false" outlineLevel="0" collapsed="false">
      <c r="A13" s="19" t="s">
        <v>120</v>
      </c>
      <c r="B13" s="20" t="s">
        <v>121</v>
      </c>
      <c r="C13" s="20" t="s">
        <v>122</v>
      </c>
      <c r="D13" s="20" t="str">
        <f aca="false">"0,5867"</f>
        <v>0,5867</v>
      </c>
      <c r="E13" s="21" t="s">
        <v>14</v>
      </c>
      <c r="F13" s="21" t="s">
        <v>39</v>
      </c>
      <c r="G13" s="20" t="s">
        <v>109</v>
      </c>
      <c r="H13" s="20" t="s">
        <v>115</v>
      </c>
      <c r="I13" s="31" t="s">
        <v>123</v>
      </c>
      <c r="J13" s="31"/>
      <c r="K13" s="20" t="s">
        <v>124</v>
      </c>
      <c r="L13" s="20" t="s">
        <v>125</v>
      </c>
      <c r="M13" s="20" t="s">
        <v>22</v>
      </c>
    </row>
    <row r="15" customFormat="false" ht="15.6" hidden="false" customHeight="false" outlineLevel="0" collapsed="false">
      <c r="A15" s="15" t="s">
        <v>126</v>
      </c>
      <c r="B15" s="15"/>
      <c r="C15" s="15"/>
      <c r="D15" s="15"/>
      <c r="E15" s="15"/>
      <c r="F15" s="15"/>
      <c r="G15" s="15"/>
      <c r="H15" s="15"/>
      <c r="I15" s="15"/>
      <c r="J15" s="15"/>
    </row>
    <row r="16" customFormat="false" ht="13.2" hidden="false" customHeight="false" outlineLevel="0" collapsed="false">
      <c r="A16" s="12" t="s">
        <v>127</v>
      </c>
      <c r="B16" s="13" t="s">
        <v>128</v>
      </c>
      <c r="C16" s="13" t="s">
        <v>129</v>
      </c>
      <c r="D16" s="13" t="str">
        <f aca="false">"0,5558"</f>
        <v>0,5558</v>
      </c>
      <c r="E16" s="14" t="s">
        <v>14</v>
      </c>
      <c r="F16" s="14" t="s">
        <v>130</v>
      </c>
      <c r="G16" s="13" t="s">
        <v>116</v>
      </c>
      <c r="H16" s="13" t="s">
        <v>131</v>
      </c>
      <c r="I16" s="13" t="s">
        <v>132</v>
      </c>
      <c r="J16" s="22"/>
      <c r="K16" s="13" t="s">
        <v>133</v>
      </c>
      <c r="L16" s="13" t="s">
        <v>134</v>
      </c>
      <c r="M16" s="13" t="s">
        <v>22</v>
      </c>
    </row>
    <row r="18" customFormat="false" ht="15" hidden="false" customHeight="false" outlineLevel="0" collapsed="false">
      <c r="E18" s="23" t="s">
        <v>53</v>
      </c>
    </row>
    <row r="19" customFormat="false" ht="15" hidden="false" customHeight="false" outlineLevel="0" collapsed="false">
      <c r="E19" s="23" t="s">
        <v>54</v>
      </c>
    </row>
    <row r="20" customFormat="false" ht="15" hidden="false" customHeight="false" outlineLevel="0" collapsed="false">
      <c r="E20" s="23" t="s">
        <v>55</v>
      </c>
    </row>
    <row r="21" customFormat="false" ht="15" hidden="false" customHeight="false" outlineLevel="0" collapsed="false">
      <c r="E21" s="23" t="s">
        <v>56</v>
      </c>
    </row>
    <row r="22" customFormat="false" ht="15" hidden="false" customHeight="false" outlineLevel="0" collapsed="false">
      <c r="E22" s="23" t="s">
        <v>56</v>
      </c>
    </row>
    <row r="23" customFormat="false" ht="15" hidden="false" customHeight="false" outlineLevel="0" collapsed="false">
      <c r="E23" s="23" t="s">
        <v>57</v>
      </c>
    </row>
    <row r="24" customFormat="false" ht="15" hidden="false" customHeight="false" outlineLevel="0" collapsed="false">
      <c r="E24" s="23"/>
    </row>
    <row r="26" customFormat="false" ht="17.4" hidden="false" customHeight="false" outlineLevel="0" collapsed="false">
      <c r="A26" s="24" t="s">
        <v>58</v>
      </c>
      <c r="B26" s="25"/>
    </row>
    <row r="27" customFormat="false" ht="15.6" hidden="false" customHeight="false" outlineLevel="0" collapsed="false">
      <c r="A27" s="26" t="s">
        <v>59</v>
      </c>
      <c r="B27" s="15"/>
    </row>
    <row r="28" customFormat="false" ht="14.4" hidden="false" customHeight="false" outlineLevel="0" collapsed="false">
      <c r="A28" s="27"/>
      <c r="B28" s="28" t="s">
        <v>135</v>
      </c>
    </row>
    <row r="29" customFormat="false" ht="13.8" hidden="false" customHeight="false" outlineLevel="0" collapsed="false">
      <c r="A29" s="29" t="s">
        <v>61</v>
      </c>
      <c r="B29" s="29" t="s">
        <v>62</v>
      </c>
      <c r="C29" s="29" t="s">
        <v>63</v>
      </c>
      <c r="D29" s="29" t="s">
        <v>64</v>
      </c>
      <c r="E29" s="29" t="s">
        <v>65</v>
      </c>
    </row>
    <row r="30" customFormat="false" ht="13.2" hidden="false" customHeight="false" outlineLevel="0" collapsed="false">
      <c r="A30" s="30" t="s">
        <v>136</v>
      </c>
      <c r="B30" s="2" t="s">
        <v>137</v>
      </c>
      <c r="C30" s="2" t="s">
        <v>75</v>
      </c>
      <c r="D30" s="2" t="s">
        <v>101</v>
      </c>
      <c r="E30" s="1" t="s">
        <v>138</v>
      </c>
    </row>
    <row r="33" customFormat="false" ht="15.6" hidden="false" customHeight="false" outlineLevel="0" collapsed="false">
      <c r="A33" s="26" t="s">
        <v>69</v>
      </c>
      <c r="B33" s="15"/>
    </row>
    <row r="34" customFormat="false" ht="14.4" hidden="false" customHeight="false" outlineLevel="0" collapsed="false">
      <c r="A34" s="27"/>
      <c r="B34" s="28" t="s">
        <v>70</v>
      </c>
    </row>
    <row r="35" customFormat="false" ht="13.8" hidden="false" customHeight="false" outlineLevel="0" collapsed="false">
      <c r="A35" s="29" t="s">
        <v>61</v>
      </c>
      <c r="B35" s="29" t="s">
        <v>62</v>
      </c>
      <c r="C35" s="29" t="s">
        <v>63</v>
      </c>
      <c r="D35" s="29" t="s">
        <v>64</v>
      </c>
      <c r="E35" s="29" t="s">
        <v>65</v>
      </c>
    </row>
    <row r="36" customFormat="false" ht="13.2" hidden="false" customHeight="false" outlineLevel="0" collapsed="false">
      <c r="A36" s="30" t="s">
        <v>139</v>
      </c>
      <c r="B36" s="2" t="s">
        <v>70</v>
      </c>
      <c r="C36" s="2" t="s">
        <v>75</v>
      </c>
      <c r="D36" s="2" t="s">
        <v>108</v>
      </c>
      <c r="E36" s="1" t="s">
        <v>140</v>
      </c>
    </row>
    <row r="38" customFormat="false" ht="14.4" hidden="false" customHeight="false" outlineLevel="0" collapsed="false">
      <c r="A38" s="27"/>
      <c r="B38" s="28" t="s">
        <v>60</v>
      </c>
    </row>
    <row r="39" customFormat="false" ht="13.8" hidden="false" customHeight="false" outlineLevel="0" collapsed="false">
      <c r="A39" s="29" t="s">
        <v>61</v>
      </c>
      <c r="B39" s="29" t="s">
        <v>62</v>
      </c>
      <c r="C39" s="29" t="s">
        <v>63</v>
      </c>
      <c r="D39" s="29" t="s">
        <v>64</v>
      </c>
      <c r="E39" s="29" t="s">
        <v>65</v>
      </c>
    </row>
    <row r="40" customFormat="false" ht="13.2" hidden="false" customHeight="false" outlineLevel="0" collapsed="false">
      <c r="A40" s="30" t="s">
        <v>141</v>
      </c>
      <c r="B40" s="2" t="s">
        <v>60</v>
      </c>
      <c r="C40" s="2" t="s">
        <v>142</v>
      </c>
      <c r="D40" s="2" t="s">
        <v>132</v>
      </c>
      <c r="E40" s="1" t="s">
        <v>143</v>
      </c>
    </row>
    <row r="41" customFormat="false" ht="13.2" hidden="false" customHeight="false" outlineLevel="0" collapsed="false">
      <c r="A41" s="30" t="s">
        <v>144</v>
      </c>
      <c r="B41" s="2" t="s">
        <v>60</v>
      </c>
      <c r="C41" s="2" t="s">
        <v>72</v>
      </c>
      <c r="D41" s="2" t="s">
        <v>117</v>
      </c>
      <c r="E41" s="1" t="s">
        <v>145</v>
      </c>
    </row>
    <row r="43" customFormat="false" ht="14.4" hidden="false" customHeight="false" outlineLevel="0" collapsed="false">
      <c r="A43" s="27"/>
      <c r="B43" s="28" t="s">
        <v>135</v>
      </c>
    </row>
    <row r="44" customFormat="false" ht="13.8" hidden="false" customHeight="false" outlineLevel="0" collapsed="false">
      <c r="A44" s="29" t="s">
        <v>61</v>
      </c>
      <c r="B44" s="29" t="s">
        <v>62</v>
      </c>
      <c r="C44" s="29" t="s">
        <v>63</v>
      </c>
      <c r="D44" s="29" t="s">
        <v>64</v>
      </c>
      <c r="E44" s="29" t="s">
        <v>65</v>
      </c>
    </row>
    <row r="45" customFormat="false" ht="13.2" hidden="false" customHeight="false" outlineLevel="0" collapsed="false">
      <c r="A45" s="30" t="s">
        <v>146</v>
      </c>
      <c r="B45" s="2" t="s">
        <v>137</v>
      </c>
      <c r="C45" s="2" t="s">
        <v>72</v>
      </c>
      <c r="D45" s="2" t="s">
        <v>115</v>
      </c>
      <c r="E45" s="1" t="s">
        <v>147</v>
      </c>
    </row>
  </sheetData>
  <mergeCells count="12">
    <mergeCell ref="A1:J2"/>
    <mergeCell ref="A3:A4"/>
    <mergeCell ref="B3:B4"/>
    <mergeCell ref="C3:C4"/>
    <mergeCell ref="D3:D4"/>
    <mergeCell ref="E3:E4"/>
    <mergeCell ref="F3:F4"/>
    <mergeCell ref="G3:J3"/>
    <mergeCell ref="A5:J5"/>
    <mergeCell ref="A8:J8"/>
    <mergeCell ref="A11:J11"/>
    <mergeCell ref="A15:J1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4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109375" defaultRowHeight="13.2" zeroHeight="false" outlineLevelRow="0" outlineLevelCol="0"/>
  <cols>
    <col collapsed="false" customWidth="true" hidden="false" outlineLevel="0" max="1" min="1" style="1" width="26.66"/>
    <col collapsed="false" customWidth="true" hidden="false" outlineLevel="0" max="2" min="2" style="2" width="26"/>
    <col collapsed="false" customWidth="true" hidden="false" outlineLevel="0" max="3" min="3" style="2" width="10.11"/>
    <col collapsed="false" customWidth="true" hidden="false" outlineLevel="0" max="4" min="4" style="2" width="11.89"/>
    <col collapsed="false" customWidth="true" hidden="false" outlineLevel="0" max="5" min="5" style="3" width="21.78"/>
    <col collapsed="false" customWidth="true" hidden="false" outlineLevel="0" max="6" min="6" style="3" width="30.89"/>
    <col collapsed="false" customWidth="true" hidden="false" outlineLevel="0" max="10" min="7" style="2" width="4.56"/>
    <col collapsed="false" customWidth="true" hidden="false" outlineLevel="0" max="11" min="11" style="2" width="7"/>
    <col collapsed="false" customWidth="true" hidden="false" outlineLevel="0" max="12" min="12" style="2" width="10"/>
    <col collapsed="false" customWidth="true" hidden="false" outlineLevel="0" max="13" min="13" style="2" width="1.56"/>
    <col collapsed="false" customWidth="false" hidden="false" outlineLevel="0" max="1024" min="14" style="2" width="9.11"/>
  </cols>
  <sheetData>
    <row r="1" customFormat="false" ht="28.95" hidden="false" customHeight="true" outlineLevel="0" collapsed="false">
      <c r="A1" s="4" t="s">
        <v>148</v>
      </c>
      <c r="B1" s="4"/>
      <c r="C1" s="4"/>
      <c r="D1" s="4"/>
      <c r="E1" s="4"/>
      <c r="F1" s="4"/>
      <c r="G1" s="4"/>
      <c r="H1" s="4"/>
      <c r="I1" s="4"/>
      <c r="J1" s="4"/>
    </row>
    <row r="2" customFormat="false" ht="61.95" hidden="false" customHeight="true" outlineLevel="0" collapsed="false">
      <c r="A2" s="4"/>
      <c r="B2" s="4"/>
      <c r="C2" s="4"/>
      <c r="D2" s="4"/>
      <c r="E2" s="4"/>
      <c r="F2" s="4"/>
      <c r="G2" s="4"/>
      <c r="H2" s="4"/>
      <c r="I2" s="4"/>
      <c r="J2" s="4"/>
    </row>
    <row r="3" s="9" customFormat="true" ht="12.75" hidden="false" customHeight="true" outlineLevel="0" collapsed="false">
      <c r="A3" s="5" t="s">
        <v>1</v>
      </c>
      <c r="B3" s="6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8"/>
      <c r="I3" s="8"/>
      <c r="J3" s="8"/>
      <c r="K3" s="9" t="s">
        <v>8</v>
      </c>
    </row>
    <row r="4" s="9" customFormat="true" ht="21" hidden="false" customHeight="true" outlineLevel="0" collapsed="false">
      <c r="A4" s="5"/>
      <c r="B4" s="6"/>
      <c r="C4" s="6"/>
      <c r="D4" s="6"/>
      <c r="E4" s="6"/>
      <c r="F4" s="6"/>
      <c r="G4" s="10" t="n">
        <v>1</v>
      </c>
      <c r="H4" s="10" t="n">
        <v>2</v>
      </c>
      <c r="I4" s="10" t="n">
        <v>3</v>
      </c>
      <c r="J4" s="10" t="s">
        <v>9</v>
      </c>
    </row>
    <row r="5" customFormat="false" ht="15.6" hidden="false" customHeight="false" outlineLevel="0" collapsed="false">
      <c r="A5" s="11" t="s">
        <v>10</v>
      </c>
      <c r="B5" s="11"/>
      <c r="C5" s="11"/>
      <c r="D5" s="11"/>
      <c r="E5" s="11"/>
      <c r="F5" s="11"/>
      <c r="G5" s="11"/>
      <c r="H5" s="11"/>
      <c r="I5" s="11"/>
      <c r="J5" s="11"/>
    </row>
    <row r="6" customFormat="false" ht="13.2" hidden="false" customHeight="false" outlineLevel="0" collapsed="false">
      <c r="A6" s="12" t="s">
        <v>11</v>
      </c>
      <c r="B6" s="13" t="s">
        <v>12</v>
      </c>
      <c r="C6" s="13" t="s">
        <v>13</v>
      </c>
      <c r="D6" s="13" t="str">
        <f aca="false">"0,9028"</f>
        <v>0,9028</v>
      </c>
      <c r="E6" s="14" t="s">
        <v>14</v>
      </c>
      <c r="F6" s="14" t="s">
        <v>15</v>
      </c>
      <c r="G6" s="13" t="s">
        <v>149</v>
      </c>
      <c r="H6" s="13" t="s">
        <v>150</v>
      </c>
      <c r="I6" s="22" t="s">
        <v>151</v>
      </c>
      <c r="J6" s="22"/>
      <c r="K6" s="13" t="s">
        <v>152</v>
      </c>
      <c r="L6" s="13" t="s">
        <v>153</v>
      </c>
      <c r="M6" s="13" t="s">
        <v>22</v>
      </c>
    </row>
    <row r="8" customFormat="false" ht="15.6" hidden="false" customHeight="false" outlineLevel="0" collapsed="false">
      <c r="A8" s="15" t="s">
        <v>10</v>
      </c>
      <c r="B8" s="15"/>
      <c r="C8" s="15"/>
      <c r="D8" s="15"/>
      <c r="E8" s="15"/>
      <c r="F8" s="15"/>
      <c r="G8" s="15"/>
      <c r="H8" s="15"/>
      <c r="I8" s="15"/>
      <c r="J8" s="15"/>
    </row>
    <row r="9" customFormat="false" ht="13.2" hidden="false" customHeight="false" outlineLevel="0" collapsed="false">
      <c r="A9" s="12" t="s">
        <v>154</v>
      </c>
      <c r="B9" s="13" t="s">
        <v>155</v>
      </c>
      <c r="C9" s="13" t="s">
        <v>156</v>
      </c>
      <c r="D9" s="13" t="str">
        <f aca="false">"0,7314"</f>
        <v>0,7314</v>
      </c>
      <c r="E9" s="14" t="s">
        <v>48</v>
      </c>
      <c r="F9" s="14" t="s">
        <v>157</v>
      </c>
      <c r="G9" s="13" t="s">
        <v>158</v>
      </c>
      <c r="H9" s="13" t="s">
        <v>159</v>
      </c>
      <c r="I9" s="22" t="s">
        <v>160</v>
      </c>
      <c r="J9" s="22"/>
      <c r="K9" s="13" t="s">
        <v>161</v>
      </c>
      <c r="L9" s="13" t="s">
        <v>162</v>
      </c>
      <c r="M9" s="13" t="s">
        <v>22</v>
      </c>
    </row>
    <row r="11" customFormat="false" ht="15.6" hidden="false" customHeight="false" outlineLevel="0" collapsed="false">
      <c r="A11" s="15" t="s">
        <v>23</v>
      </c>
      <c r="B11" s="15"/>
      <c r="C11" s="15"/>
      <c r="D11" s="15"/>
      <c r="E11" s="15"/>
      <c r="F11" s="15"/>
      <c r="G11" s="15"/>
      <c r="H11" s="15"/>
      <c r="I11" s="15"/>
      <c r="J11" s="15"/>
    </row>
    <row r="12" customFormat="false" ht="13.2" hidden="false" customHeight="false" outlineLevel="0" collapsed="false">
      <c r="A12" s="16" t="s">
        <v>24</v>
      </c>
      <c r="B12" s="17" t="s">
        <v>25</v>
      </c>
      <c r="C12" s="17" t="s">
        <v>26</v>
      </c>
      <c r="D12" s="17" t="str">
        <f aca="false">"0,6664"</f>
        <v>0,6664</v>
      </c>
      <c r="E12" s="18" t="s">
        <v>14</v>
      </c>
      <c r="F12" s="18" t="s">
        <v>27</v>
      </c>
      <c r="G12" s="17" t="s">
        <v>163</v>
      </c>
      <c r="H12" s="17" t="s">
        <v>164</v>
      </c>
      <c r="I12" s="17" t="s">
        <v>165</v>
      </c>
      <c r="J12" s="32" t="s">
        <v>166</v>
      </c>
      <c r="K12" s="17" t="s">
        <v>167</v>
      </c>
      <c r="L12" s="17" t="s">
        <v>168</v>
      </c>
      <c r="M12" s="17" t="s">
        <v>22</v>
      </c>
    </row>
    <row r="13" customFormat="false" ht="13.2" hidden="false" customHeight="false" outlineLevel="0" collapsed="false">
      <c r="A13" s="19" t="s">
        <v>24</v>
      </c>
      <c r="B13" s="20" t="s">
        <v>34</v>
      </c>
      <c r="C13" s="20" t="s">
        <v>26</v>
      </c>
      <c r="D13" s="20" t="str">
        <f aca="false">"0,6664"</f>
        <v>0,6664</v>
      </c>
      <c r="E13" s="21" t="s">
        <v>14</v>
      </c>
      <c r="F13" s="21" t="s">
        <v>27</v>
      </c>
      <c r="G13" s="20" t="s">
        <v>163</v>
      </c>
      <c r="H13" s="20" t="s">
        <v>164</v>
      </c>
      <c r="I13" s="20" t="s">
        <v>165</v>
      </c>
      <c r="J13" s="31" t="s">
        <v>166</v>
      </c>
      <c r="K13" s="20" t="s">
        <v>167</v>
      </c>
      <c r="L13" s="20" t="s">
        <v>168</v>
      </c>
      <c r="M13" s="20" t="s">
        <v>22</v>
      </c>
    </row>
    <row r="15" customFormat="false" ht="15.6" hidden="false" customHeight="false" outlineLevel="0" collapsed="false">
      <c r="A15" s="15" t="s">
        <v>126</v>
      </c>
      <c r="B15" s="15"/>
      <c r="C15" s="15"/>
      <c r="D15" s="15"/>
      <c r="E15" s="15"/>
      <c r="F15" s="15"/>
      <c r="G15" s="15"/>
      <c r="H15" s="15"/>
      <c r="I15" s="15"/>
      <c r="J15" s="15"/>
    </row>
    <row r="16" customFormat="false" ht="13.2" hidden="false" customHeight="false" outlineLevel="0" collapsed="false">
      <c r="A16" s="16" t="s">
        <v>169</v>
      </c>
      <c r="B16" s="17" t="s">
        <v>170</v>
      </c>
      <c r="C16" s="17" t="s">
        <v>171</v>
      </c>
      <c r="D16" s="17" t="str">
        <f aca="false">"0,5501"</f>
        <v>0,5501</v>
      </c>
      <c r="E16" s="18" t="s">
        <v>14</v>
      </c>
      <c r="F16" s="18" t="s">
        <v>172</v>
      </c>
      <c r="G16" s="17" t="s">
        <v>164</v>
      </c>
      <c r="H16" s="17" t="s">
        <v>173</v>
      </c>
      <c r="I16" s="17" t="s">
        <v>165</v>
      </c>
      <c r="J16" s="17" t="s">
        <v>166</v>
      </c>
      <c r="K16" s="17" t="s">
        <v>174</v>
      </c>
      <c r="L16" s="17" t="s">
        <v>175</v>
      </c>
      <c r="M16" s="17" t="s">
        <v>22</v>
      </c>
    </row>
    <row r="17" customFormat="false" ht="13.2" hidden="false" customHeight="false" outlineLevel="0" collapsed="false">
      <c r="A17" s="19" t="s">
        <v>169</v>
      </c>
      <c r="B17" s="20" t="s">
        <v>176</v>
      </c>
      <c r="C17" s="20" t="s">
        <v>171</v>
      </c>
      <c r="D17" s="20" t="str">
        <f aca="false">"0,5501"</f>
        <v>0,5501</v>
      </c>
      <c r="E17" s="21" t="s">
        <v>14</v>
      </c>
      <c r="F17" s="21" t="s">
        <v>172</v>
      </c>
      <c r="G17" s="20" t="s">
        <v>164</v>
      </c>
      <c r="H17" s="20" t="s">
        <v>173</v>
      </c>
      <c r="I17" s="20" t="s">
        <v>165</v>
      </c>
      <c r="J17" s="20" t="s">
        <v>166</v>
      </c>
      <c r="K17" s="20" t="s">
        <v>174</v>
      </c>
      <c r="L17" s="20" t="s">
        <v>177</v>
      </c>
      <c r="M17" s="20" t="s">
        <v>22</v>
      </c>
    </row>
    <row r="19" customFormat="false" ht="15" hidden="false" customHeight="false" outlineLevel="0" collapsed="false">
      <c r="E19" s="23" t="s">
        <v>53</v>
      </c>
    </row>
    <row r="20" customFormat="false" ht="15" hidden="false" customHeight="false" outlineLevel="0" collapsed="false">
      <c r="E20" s="23" t="s">
        <v>54</v>
      </c>
    </row>
    <row r="21" customFormat="false" ht="15" hidden="false" customHeight="false" outlineLevel="0" collapsed="false">
      <c r="E21" s="23" t="s">
        <v>55</v>
      </c>
    </row>
    <row r="22" customFormat="false" ht="15" hidden="false" customHeight="false" outlineLevel="0" collapsed="false">
      <c r="E22" s="23" t="s">
        <v>56</v>
      </c>
    </row>
    <row r="23" customFormat="false" ht="15" hidden="false" customHeight="false" outlineLevel="0" collapsed="false">
      <c r="E23" s="23" t="s">
        <v>56</v>
      </c>
    </row>
    <row r="24" customFormat="false" ht="15" hidden="false" customHeight="false" outlineLevel="0" collapsed="false">
      <c r="E24" s="23" t="s">
        <v>57</v>
      </c>
    </row>
    <row r="25" customFormat="false" ht="15" hidden="false" customHeight="false" outlineLevel="0" collapsed="false">
      <c r="E25" s="23"/>
    </row>
    <row r="27" customFormat="false" ht="17.4" hidden="false" customHeight="false" outlineLevel="0" collapsed="false">
      <c r="A27" s="24" t="s">
        <v>58</v>
      </c>
      <c r="B27" s="25"/>
    </row>
    <row r="28" customFormat="false" ht="15.6" hidden="false" customHeight="false" outlineLevel="0" collapsed="false">
      <c r="A28" s="26" t="s">
        <v>59</v>
      </c>
      <c r="B28" s="15"/>
    </row>
    <row r="29" customFormat="false" ht="14.4" hidden="false" customHeight="false" outlineLevel="0" collapsed="false">
      <c r="A29" s="27"/>
      <c r="B29" s="28" t="s">
        <v>60</v>
      </c>
    </row>
    <row r="30" customFormat="false" ht="13.8" hidden="false" customHeight="false" outlineLevel="0" collapsed="false">
      <c r="A30" s="29" t="s">
        <v>61</v>
      </c>
      <c r="B30" s="29" t="s">
        <v>62</v>
      </c>
      <c r="C30" s="29" t="s">
        <v>63</v>
      </c>
      <c r="D30" s="29" t="s">
        <v>64</v>
      </c>
      <c r="E30" s="29" t="s">
        <v>65</v>
      </c>
    </row>
    <row r="31" customFormat="false" ht="13.2" hidden="false" customHeight="false" outlineLevel="0" collapsed="false">
      <c r="A31" s="30" t="s">
        <v>66</v>
      </c>
      <c r="B31" s="2" t="s">
        <v>60</v>
      </c>
      <c r="C31" s="2" t="s">
        <v>67</v>
      </c>
      <c r="D31" s="2" t="s">
        <v>150</v>
      </c>
      <c r="E31" s="1" t="s">
        <v>178</v>
      </c>
    </row>
    <row r="34" customFormat="false" ht="15.6" hidden="false" customHeight="false" outlineLevel="0" collapsed="false">
      <c r="A34" s="26" t="s">
        <v>69</v>
      </c>
      <c r="B34" s="15"/>
    </row>
    <row r="35" customFormat="false" ht="14.4" hidden="false" customHeight="false" outlineLevel="0" collapsed="false">
      <c r="A35" s="27"/>
      <c r="B35" s="28" t="s">
        <v>70</v>
      </c>
    </row>
    <row r="36" customFormat="false" ht="13.8" hidden="false" customHeight="false" outlineLevel="0" collapsed="false">
      <c r="A36" s="29" t="s">
        <v>61</v>
      </c>
      <c r="B36" s="29" t="s">
        <v>62</v>
      </c>
      <c r="C36" s="29" t="s">
        <v>63</v>
      </c>
      <c r="D36" s="29" t="s">
        <v>64</v>
      </c>
      <c r="E36" s="29" t="s">
        <v>65</v>
      </c>
    </row>
    <row r="37" customFormat="false" ht="13.2" hidden="false" customHeight="false" outlineLevel="0" collapsed="false">
      <c r="A37" s="30" t="s">
        <v>179</v>
      </c>
      <c r="B37" s="2" t="s">
        <v>70</v>
      </c>
      <c r="C37" s="2" t="s">
        <v>67</v>
      </c>
      <c r="D37" s="2" t="s">
        <v>159</v>
      </c>
      <c r="E37" s="1" t="s">
        <v>180</v>
      </c>
    </row>
    <row r="38" customFormat="false" ht="13.2" hidden="false" customHeight="false" outlineLevel="0" collapsed="false">
      <c r="A38" s="30" t="s">
        <v>74</v>
      </c>
      <c r="B38" s="2" t="s">
        <v>70</v>
      </c>
      <c r="C38" s="2" t="s">
        <v>75</v>
      </c>
      <c r="D38" s="2" t="s">
        <v>165</v>
      </c>
      <c r="E38" s="1" t="s">
        <v>181</v>
      </c>
    </row>
    <row r="40" customFormat="false" ht="14.4" hidden="false" customHeight="false" outlineLevel="0" collapsed="false">
      <c r="A40" s="27"/>
      <c r="B40" s="28" t="s">
        <v>60</v>
      </c>
    </row>
    <row r="41" customFormat="false" ht="13.8" hidden="false" customHeight="false" outlineLevel="0" collapsed="false">
      <c r="A41" s="29" t="s">
        <v>61</v>
      </c>
      <c r="B41" s="29" t="s">
        <v>62</v>
      </c>
      <c r="C41" s="29" t="s">
        <v>63</v>
      </c>
      <c r="D41" s="29" t="s">
        <v>64</v>
      </c>
      <c r="E41" s="29" t="s">
        <v>65</v>
      </c>
    </row>
    <row r="42" customFormat="false" ht="13.2" hidden="false" customHeight="false" outlineLevel="0" collapsed="false">
      <c r="A42" s="30" t="s">
        <v>74</v>
      </c>
      <c r="B42" s="2" t="s">
        <v>60</v>
      </c>
      <c r="C42" s="2" t="s">
        <v>75</v>
      </c>
      <c r="D42" s="2" t="s">
        <v>165</v>
      </c>
      <c r="E42" s="1" t="s">
        <v>181</v>
      </c>
    </row>
    <row r="43" customFormat="false" ht="13.2" hidden="false" customHeight="false" outlineLevel="0" collapsed="false">
      <c r="A43" s="30" t="s">
        <v>182</v>
      </c>
      <c r="B43" s="2" t="s">
        <v>60</v>
      </c>
      <c r="C43" s="2" t="s">
        <v>142</v>
      </c>
      <c r="D43" s="2" t="s">
        <v>166</v>
      </c>
      <c r="E43" s="1" t="s">
        <v>183</v>
      </c>
    </row>
    <row r="45" customFormat="false" ht="14.4" hidden="false" customHeight="false" outlineLevel="0" collapsed="false">
      <c r="A45" s="27"/>
      <c r="B45" s="28" t="s">
        <v>135</v>
      </c>
    </row>
    <row r="46" customFormat="false" ht="13.8" hidden="false" customHeight="false" outlineLevel="0" collapsed="false">
      <c r="A46" s="29" t="s">
        <v>61</v>
      </c>
      <c r="B46" s="29" t="s">
        <v>62</v>
      </c>
      <c r="C46" s="29" t="s">
        <v>63</v>
      </c>
      <c r="D46" s="29" t="s">
        <v>64</v>
      </c>
      <c r="E46" s="29" t="s">
        <v>65</v>
      </c>
    </row>
    <row r="47" customFormat="false" ht="13.2" hidden="false" customHeight="false" outlineLevel="0" collapsed="false">
      <c r="A47" s="30" t="s">
        <v>182</v>
      </c>
      <c r="B47" s="2" t="s">
        <v>137</v>
      </c>
      <c r="C47" s="2" t="s">
        <v>142</v>
      </c>
      <c r="D47" s="2" t="s">
        <v>166</v>
      </c>
      <c r="E47" s="1" t="s">
        <v>184</v>
      </c>
    </row>
  </sheetData>
  <mergeCells count="12">
    <mergeCell ref="A1:J2"/>
    <mergeCell ref="A3:A4"/>
    <mergeCell ref="B3:B4"/>
    <mergeCell ref="C3:C4"/>
    <mergeCell ref="D3:D4"/>
    <mergeCell ref="E3:E4"/>
    <mergeCell ref="F3:F4"/>
    <mergeCell ref="G3:J3"/>
    <mergeCell ref="A5:J5"/>
    <mergeCell ref="A8:J8"/>
    <mergeCell ref="A11:J11"/>
    <mergeCell ref="A15:J1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5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109375" defaultRowHeight="13.2" zeroHeight="false" outlineLevelRow="0" outlineLevelCol="0"/>
  <cols>
    <col collapsed="false" customWidth="true" hidden="false" outlineLevel="0" max="1" min="1" style="33" width="24.67"/>
    <col collapsed="false" customWidth="true" hidden="false" outlineLevel="0" max="2" min="2" style="33" width="29.89"/>
    <col collapsed="false" customWidth="true" hidden="false" outlineLevel="0" max="3" min="3" style="33" width="14.88"/>
    <col collapsed="false" customWidth="true" hidden="false" outlineLevel="0" max="4" min="4" style="33" width="11.89"/>
    <col collapsed="false" customWidth="true" hidden="false" outlineLevel="0" max="5" min="5" style="33" width="21.78"/>
    <col collapsed="false" customWidth="true" hidden="false" outlineLevel="0" max="6" min="6" style="33" width="40.22"/>
    <col collapsed="false" customWidth="true" hidden="false" outlineLevel="0" max="7" min="7" style="34" width="5.55"/>
    <col collapsed="false" customWidth="true" hidden="false" outlineLevel="0" max="8" min="8" style="34" width="10"/>
    <col collapsed="false" customWidth="true" hidden="false" outlineLevel="0" max="9" min="9" style="1" width="7.67"/>
    <col collapsed="false" customWidth="true" hidden="false" outlineLevel="0" max="10" min="10" style="35" width="9.56"/>
    <col collapsed="false" customWidth="true" hidden="false" outlineLevel="0" max="11" min="11" style="33" width="8.33"/>
    <col collapsed="false" customWidth="false" hidden="false" outlineLevel="0" max="1024" min="12" style="34" width="9.11"/>
  </cols>
  <sheetData>
    <row r="1" s="35" customFormat="true" ht="28.95" hidden="false" customHeight="true" outlineLevel="0" collapsed="false">
      <c r="A1" s="36" t="s">
        <v>185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="35" customFormat="true" ht="61.95" hidden="false" customHeight="true" outlineLevel="0" collapsed="false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="9" customFormat="true" ht="12.75" hidden="false" customHeight="true" outlineLevel="0" collapsed="false">
      <c r="A3" s="37" t="s">
        <v>1</v>
      </c>
      <c r="B3" s="38" t="s">
        <v>2</v>
      </c>
      <c r="C3" s="38" t="s">
        <v>186</v>
      </c>
      <c r="D3" s="39" t="s">
        <v>4</v>
      </c>
      <c r="E3" s="39" t="s">
        <v>5</v>
      </c>
      <c r="F3" s="39" t="s">
        <v>6</v>
      </c>
      <c r="G3" s="40" t="s">
        <v>187</v>
      </c>
      <c r="H3" s="40"/>
      <c r="I3" s="39" t="s">
        <v>188</v>
      </c>
      <c r="J3" s="39" t="s">
        <v>189</v>
      </c>
      <c r="K3" s="41" t="s">
        <v>190</v>
      </c>
    </row>
    <row r="4" s="9" customFormat="true" ht="21" hidden="false" customHeight="true" outlineLevel="0" collapsed="false">
      <c r="A4" s="37"/>
      <c r="B4" s="38"/>
      <c r="C4" s="38"/>
      <c r="D4" s="38"/>
      <c r="E4" s="38"/>
      <c r="F4" s="38"/>
      <c r="G4" s="42" t="s">
        <v>191</v>
      </c>
      <c r="H4" s="42" t="s">
        <v>192</v>
      </c>
      <c r="I4" s="39"/>
      <c r="J4" s="39"/>
      <c r="K4" s="41"/>
    </row>
    <row r="5" customFormat="false" ht="15.6" hidden="false" customHeight="false" outlineLevel="0" collapsed="false">
      <c r="A5" s="11" t="s">
        <v>193</v>
      </c>
      <c r="B5" s="11"/>
      <c r="C5" s="11"/>
      <c r="D5" s="11"/>
      <c r="E5" s="11"/>
      <c r="F5" s="11"/>
      <c r="G5" s="11"/>
      <c r="H5" s="11"/>
    </row>
    <row r="6" customFormat="false" ht="13.2" hidden="false" customHeight="false" outlineLevel="0" collapsed="false">
      <c r="A6" s="14" t="s">
        <v>194</v>
      </c>
      <c r="B6" s="14" t="s">
        <v>195</v>
      </c>
      <c r="C6" s="14" t="s">
        <v>196</v>
      </c>
      <c r="D6" s="14" t="str">
        <f aca="false">"1,0500"</f>
        <v>1,0500</v>
      </c>
      <c r="E6" s="14" t="s">
        <v>14</v>
      </c>
      <c r="F6" s="14" t="s">
        <v>39</v>
      </c>
      <c r="G6" s="13" t="s">
        <v>197</v>
      </c>
      <c r="H6" s="13" t="s">
        <v>198</v>
      </c>
      <c r="I6" s="12" t="str">
        <f aca="false">"920,0"</f>
        <v>920,0</v>
      </c>
      <c r="J6" s="43" t="str">
        <f aca="false">"966,0000"</f>
        <v>966,0000</v>
      </c>
      <c r="K6" s="14" t="s">
        <v>22</v>
      </c>
    </row>
    <row r="8" customFormat="false" ht="15.6" hidden="false" customHeight="false" outlineLevel="0" collapsed="false">
      <c r="A8" s="15" t="s">
        <v>199</v>
      </c>
      <c r="B8" s="15"/>
      <c r="C8" s="15"/>
      <c r="D8" s="15"/>
      <c r="E8" s="15"/>
      <c r="F8" s="15"/>
      <c r="G8" s="15"/>
      <c r="H8" s="15"/>
    </row>
    <row r="9" customFormat="false" ht="13.2" hidden="false" customHeight="false" outlineLevel="0" collapsed="false">
      <c r="A9" s="18" t="s">
        <v>200</v>
      </c>
      <c r="B9" s="18" t="s">
        <v>201</v>
      </c>
      <c r="C9" s="18" t="s">
        <v>202</v>
      </c>
      <c r="D9" s="18" t="str">
        <f aca="false">"0,7456"</f>
        <v>0,7456</v>
      </c>
      <c r="E9" s="18" t="s">
        <v>14</v>
      </c>
      <c r="F9" s="18" t="s">
        <v>39</v>
      </c>
      <c r="G9" s="17" t="s">
        <v>30</v>
      </c>
      <c r="H9" s="17" t="s">
        <v>203</v>
      </c>
      <c r="I9" s="16" t="str">
        <f aca="false">"3080,0"</f>
        <v>3080,0</v>
      </c>
      <c r="J9" s="44" t="str">
        <f aca="false">"2296,6020"</f>
        <v>2296,6020</v>
      </c>
      <c r="K9" s="18" t="s">
        <v>22</v>
      </c>
    </row>
    <row r="10" customFormat="false" ht="13.2" hidden="false" customHeight="false" outlineLevel="0" collapsed="false">
      <c r="A10" s="45" t="s">
        <v>204</v>
      </c>
      <c r="B10" s="45" t="s">
        <v>205</v>
      </c>
      <c r="C10" s="45" t="s">
        <v>206</v>
      </c>
      <c r="D10" s="45" t="str">
        <f aca="false">"0,6885"</f>
        <v>0,6885</v>
      </c>
      <c r="E10" s="45" t="s">
        <v>14</v>
      </c>
      <c r="F10" s="45" t="s">
        <v>207</v>
      </c>
      <c r="G10" s="46" t="s">
        <v>208</v>
      </c>
      <c r="H10" s="46" t="s">
        <v>149</v>
      </c>
      <c r="I10" s="47" t="str">
        <f aca="false">"2100,0"</f>
        <v>2100,0</v>
      </c>
      <c r="J10" s="48" t="str">
        <f aca="false">"1445,9550"</f>
        <v>1445,9550</v>
      </c>
      <c r="K10" s="45" t="s">
        <v>22</v>
      </c>
    </row>
    <row r="11" customFormat="false" ht="13.2" hidden="false" customHeight="false" outlineLevel="0" collapsed="false">
      <c r="A11" s="21" t="s">
        <v>209</v>
      </c>
      <c r="B11" s="21" t="s">
        <v>210</v>
      </c>
      <c r="C11" s="21" t="s">
        <v>211</v>
      </c>
      <c r="D11" s="21" t="str">
        <f aca="false">"0,7164"</f>
        <v>0,7164</v>
      </c>
      <c r="E11" s="21" t="s">
        <v>48</v>
      </c>
      <c r="F11" s="21" t="s">
        <v>39</v>
      </c>
      <c r="G11" s="20" t="s">
        <v>100</v>
      </c>
      <c r="H11" s="20" t="s">
        <v>212</v>
      </c>
      <c r="I11" s="19" t="str">
        <f aca="false">"1740,0"</f>
        <v>1740,0</v>
      </c>
      <c r="J11" s="49" t="str">
        <f aca="false">"1271,5554"</f>
        <v>1271,5554</v>
      </c>
      <c r="K11" s="21" t="s">
        <v>22</v>
      </c>
    </row>
    <row r="13" customFormat="false" ht="15.6" hidden="false" customHeight="false" outlineLevel="0" collapsed="false">
      <c r="A13" s="15" t="s">
        <v>213</v>
      </c>
      <c r="B13" s="15"/>
      <c r="C13" s="15"/>
      <c r="D13" s="15"/>
      <c r="E13" s="15"/>
      <c r="F13" s="15"/>
      <c r="G13" s="15"/>
      <c r="H13" s="15"/>
    </row>
    <row r="14" customFormat="false" ht="13.2" hidden="false" customHeight="false" outlineLevel="0" collapsed="false">
      <c r="A14" s="18" t="s">
        <v>214</v>
      </c>
      <c r="B14" s="18" t="s">
        <v>215</v>
      </c>
      <c r="C14" s="18" t="s">
        <v>216</v>
      </c>
      <c r="D14" s="18" t="str">
        <f aca="false">"0,6477"</f>
        <v>0,6477</v>
      </c>
      <c r="E14" s="18" t="s">
        <v>14</v>
      </c>
      <c r="F14" s="18" t="s">
        <v>39</v>
      </c>
      <c r="G14" s="17" t="s">
        <v>217</v>
      </c>
      <c r="H14" s="17" t="s">
        <v>218</v>
      </c>
      <c r="I14" s="16" t="str">
        <f aca="false">"2227,5"</f>
        <v>2227,5</v>
      </c>
      <c r="J14" s="44" t="str">
        <f aca="false">"1442,6404"</f>
        <v>1442,6404</v>
      </c>
      <c r="K14" s="18" t="s">
        <v>22</v>
      </c>
    </row>
    <row r="15" customFormat="false" ht="13.2" hidden="false" customHeight="false" outlineLevel="0" collapsed="false">
      <c r="A15" s="21" t="s">
        <v>219</v>
      </c>
      <c r="B15" s="21" t="s">
        <v>220</v>
      </c>
      <c r="C15" s="21" t="s">
        <v>221</v>
      </c>
      <c r="D15" s="21" t="str">
        <f aca="false">"0,6600"</f>
        <v>0,6600</v>
      </c>
      <c r="E15" s="21" t="s">
        <v>14</v>
      </c>
      <c r="F15" s="21" t="s">
        <v>222</v>
      </c>
      <c r="G15" s="20" t="s">
        <v>31</v>
      </c>
      <c r="H15" s="20" t="s">
        <v>218</v>
      </c>
      <c r="I15" s="19" t="str">
        <f aca="false">"2160,0"</f>
        <v>2160,0</v>
      </c>
      <c r="J15" s="49" t="str">
        <f aca="false">"1425,7079"</f>
        <v>1425,7079</v>
      </c>
      <c r="K15" s="21" t="s">
        <v>22</v>
      </c>
    </row>
    <row r="17" customFormat="false" ht="15.6" hidden="false" customHeight="false" outlineLevel="0" collapsed="false">
      <c r="A17" s="15" t="s">
        <v>35</v>
      </c>
      <c r="B17" s="15"/>
      <c r="C17" s="15"/>
      <c r="D17" s="15"/>
      <c r="E17" s="15"/>
      <c r="F17" s="15"/>
      <c r="G17" s="15"/>
      <c r="H17" s="15"/>
    </row>
    <row r="18" customFormat="false" ht="13.2" hidden="false" customHeight="false" outlineLevel="0" collapsed="false">
      <c r="A18" s="14" t="s">
        <v>223</v>
      </c>
      <c r="B18" s="14" t="s">
        <v>224</v>
      </c>
      <c r="C18" s="14" t="s">
        <v>225</v>
      </c>
      <c r="D18" s="14" t="str">
        <f aca="false">"0,6340"</f>
        <v>0,6340</v>
      </c>
      <c r="E18" s="14" t="s">
        <v>14</v>
      </c>
      <c r="F18" s="14" t="s">
        <v>226</v>
      </c>
      <c r="G18" s="13" t="s">
        <v>49</v>
      </c>
      <c r="H18" s="13" t="s">
        <v>227</v>
      </c>
      <c r="I18" s="12" t="str">
        <f aca="false">"1955,0"</f>
        <v>1955,0</v>
      </c>
      <c r="J18" s="43" t="str">
        <f aca="false">"1239,4700"</f>
        <v>1239,4700</v>
      </c>
      <c r="K18" s="14" t="s">
        <v>22</v>
      </c>
    </row>
    <row r="20" customFormat="false" ht="15.6" hidden="false" customHeight="false" outlineLevel="0" collapsed="false">
      <c r="A20" s="15" t="s">
        <v>228</v>
      </c>
      <c r="B20" s="15"/>
      <c r="C20" s="15"/>
      <c r="D20" s="15"/>
      <c r="E20" s="15"/>
      <c r="F20" s="15"/>
      <c r="G20" s="15"/>
      <c r="H20" s="15"/>
    </row>
    <row r="21" customFormat="false" ht="13.2" hidden="false" customHeight="false" outlineLevel="0" collapsed="false">
      <c r="A21" s="14" t="s">
        <v>229</v>
      </c>
      <c r="B21" s="14" t="s">
        <v>230</v>
      </c>
      <c r="C21" s="14" t="s">
        <v>231</v>
      </c>
      <c r="D21" s="14" t="str">
        <f aca="false">"0,5653"</f>
        <v>0,5653</v>
      </c>
      <c r="E21" s="14" t="s">
        <v>14</v>
      </c>
      <c r="F21" s="14" t="s">
        <v>39</v>
      </c>
      <c r="G21" s="13" t="s">
        <v>107</v>
      </c>
      <c r="H21" s="13" t="s">
        <v>91</v>
      </c>
      <c r="I21" s="12" t="str">
        <f aca="false">"2200,0"</f>
        <v>2200,0</v>
      </c>
      <c r="J21" s="43" t="str">
        <f aca="false">"1426,4780"</f>
        <v>1426,4780</v>
      </c>
      <c r="K21" s="14" t="s">
        <v>22</v>
      </c>
    </row>
    <row r="23" customFormat="false" ht="15" hidden="false" customHeight="false" outlineLevel="0" collapsed="false">
      <c r="E23" s="23" t="s">
        <v>53</v>
      </c>
    </row>
    <row r="24" customFormat="false" ht="15" hidden="false" customHeight="false" outlineLevel="0" collapsed="false">
      <c r="E24" s="23" t="s">
        <v>54</v>
      </c>
    </row>
    <row r="25" customFormat="false" ht="15" hidden="false" customHeight="false" outlineLevel="0" collapsed="false">
      <c r="E25" s="23" t="s">
        <v>55</v>
      </c>
    </row>
    <row r="26" customFormat="false" ht="15" hidden="false" customHeight="false" outlineLevel="0" collapsed="false">
      <c r="E26" s="23" t="s">
        <v>56</v>
      </c>
    </row>
    <row r="27" customFormat="false" ht="15" hidden="false" customHeight="false" outlineLevel="0" collapsed="false">
      <c r="E27" s="23" t="s">
        <v>56</v>
      </c>
    </row>
    <row r="28" customFormat="false" ht="15" hidden="false" customHeight="false" outlineLevel="0" collapsed="false">
      <c r="E28" s="23" t="s">
        <v>57</v>
      </c>
    </row>
    <row r="29" customFormat="false" ht="15" hidden="false" customHeight="false" outlineLevel="0" collapsed="false">
      <c r="E29" s="23"/>
    </row>
    <row r="31" customFormat="false" ht="17.4" hidden="false" customHeight="false" outlineLevel="0" collapsed="false">
      <c r="A31" s="50" t="s">
        <v>58</v>
      </c>
      <c r="B31" s="50"/>
    </row>
    <row r="32" customFormat="false" ht="15.6" hidden="false" customHeight="false" outlineLevel="0" collapsed="false">
      <c r="A32" s="51" t="s">
        <v>59</v>
      </c>
      <c r="B32" s="51"/>
    </row>
    <row r="33" customFormat="false" ht="14.4" hidden="false" customHeight="false" outlineLevel="0" collapsed="false">
      <c r="A33" s="52"/>
      <c r="B33" s="53" t="s">
        <v>60</v>
      </c>
    </row>
    <row r="34" customFormat="false" ht="13.8" hidden="false" customHeight="false" outlineLevel="0" collapsed="false">
      <c r="A34" s="29" t="s">
        <v>61</v>
      </c>
      <c r="B34" s="29" t="s">
        <v>62</v>
      </c>
      <c r="C34" s="29" t="s">
        <v>63</v>
      </c>
      <c r="D34" s="29" t="s">
        <v>64</v>
      </c>
      <c r="E34" s="29" t="s">
        <v>65</v>
      </c>
    </row>
    <row r="35" customFormat="false" ht="13.2" hidden="false" customHeight="false" outlineLevel="0" collapsed="false">
      <c r="A35" s="54" t="s">
        <v>232</v>
      </c>
      <c r="B35" s="33" t="s">
        <v>60</v>
      </c>
      <c r="C35" s="33" t="s">
        <v>233</v>
      </c>
      <c r="D35" s="33" t="s">
        <v>234</v>
      </c>
      <c r="E35" s="1" t="s">
        <v>235</v>
      </c>
    </row>
    <row r="38" customFormat="false" ht="15.6" hidden="false" customHeight="false" outlineLevel="0" collapsed="false">
      <c r="A38" s="51" t="s">
        <v>69</v>
      </c>
      <c r="B38" s="51"/>
    </row>
    <row r="39" customFormat="false" ht="14.4" hidden="false" customHeight="false" outlineLevel="0" collapsed="false">
      <c r="A39" s="52"/>
      <c r="B39" s="53" t="s">
        <v>60</v>
      </c>
    </row>
    <row r="40" customFormat="false" ht="13.8" hidden="false" customHeight="false" outlineLevel="0" collapsed="false">
      <c r="A40" s="29" t="s">
        <v>61</v>
      </c>
      <c r="B40" s="29" t="s">
        <v>62</v>
      </c>
      <c r="C40" s="29" t="s">
        <v>63</v>
      </c>
      <c r="D40" s="29" t="s">
        <v>64</v>
      </c>
      <c r="E40" s="29" t="s">
        <v>65</v>
      </c>
    </row>
    <row r="41" customFormat="false" ht="13.2" hidden="false" customHeight="false" outlineLevel="0" collapsed="false">
      <c r="A41" s="54" t="s">
        <v>236</v>
      </c>
      <c r="B41" s="33" t="s">
        <v>60</v>
      </c>
      <c r="C41" s="33" t="s">
        <v>237</v>
      </c>
      <c r="D41" s="33" t="s">
        <v>238</v>
      </c>
      <c r="E41" s="1" t="s">
        <v>239</v>
      </c>
    </row>
    <row r="42" customFormat="false" ht="13.2" hidden="false" customHeight="false" outlineLevel="0" collapsed="false">
      <c r="A42" s="54" t="s">
        <v>240</v>
      </c>
      <c r="B42" s="33" t="s">
        <v>60</v>
      </c>
      <c r="C42" s="33" t="s">
        <v>237</v>
      </c>
      <c r="D42" s="33" t="s">
        <v>241</v>
      </c>
      <c r="E42" s="1" t="s">
        <v>242</v>
      </c>
    </row>
    <row r="43" customFormat="false" ht="13.2" hidden="false" customHeight="false" outlineLevel="0" collapsed="false">
      <c r="A43" s="54" t="s">
        <v>243</v>
      </c>
      <c r="B43" s="33" t="s">
        <v>60</v>
      </c>
      <c r="C43" s="33" t="s">
        <v>244</v>
      </c>
      <c r="D43" s="33" t="s">
        <v>245</v>
      </c>
      <c r="E43" s="1" t="s">
        <v>246</v>
      </c>
    </row>
    <row r="44" customFormat="false" ht="13.2" hidden="false" customHeight="false" outlineLevel="0" collapsed="false">
      <c r="A44" s="54" t="s">
        <v>247</v>
      </c>
      <c r="B44" s="33" t="s">
        <v>60</v>
      </c>
      <c r="C44" s="33" t="s">
        <v>78</v>
      </c>
      <c r="D44" s="33" t="s">
        <v>248</v>
      </c>
      <c r="E44" s="1" t="s">
        <v>249</v>
      </c>
    </row>
    <row r="46" customFormat="false" ht="14.4" hidden="false" customHeight="false" outlineLevel="0" collapsed="false">
      <c r="A46" s="52"/>
      <c r="B46" s="53" t="s">
        <v>250</v>
      </c>
    </row>
    <row r="47" customFormat="false" ht="13.8" hidden="false" customHeight="false" outlineLevel="0" collapsed="false">
      <c r="A47" s="29" t="s">
        <v>61</v>
      </c>
      <c r="B47" s="29" t="s">
        <v>62</v>
      </c>
      <c r="C47" s="29" t="s">
        <v>63</v>
      </c>
      <c r="D47" s="29" t="s">
        <v>64</v>
      </c>
      <c r="E47" s="29" t="s">
        <v>65</v>
      </c>
    </row>
    <row r="48" customFormat="false" ht="13.2" hidden="false" customHeight="false" outlineLevel="0" collapsed="false">
      <c r="A48" s="54" t="s">
        <v>251</v>
      </c>
      <c r="B48" s="33" t="s">
        <v>252</v>
      </c>
      <c r="C48" s="33" t="s">
        <v>253</v>
      </c>
      <c r="D48" s="33" t="s">
        <v>254</v>
      </c>
      <c r="E48" s="1" t="s">
        <v>255</v>
      </c>
    </row>
    <row r="49" customFormat="false" ht="13.2" hidden="false" customHeight="false" outlineLevel="0" collapsed="false">
      <c r="A49" s="54" t="s">
        <v>256</v>
      </c>
      <c r="B49" s="33" t="s">
        <v>257</v>
      </c>
      <c r="C49" s="33" t="s">
        <v>244</v>
      </c>
      <c r="D49" s="33" t="s">
        <v>258</v>
      </c>
      <c r="E49" s="1" t="s">
        <v>259</v>
      </c>
    </row>
    <row r="50" customFormat="false" ht="13.2" hidden="false" customHeight="false" outlineLevel="0" collapsed="false">
      <c r="A50" s="54" t="s">
        <v>260</v>
      </c>
      <c r="B50" s="33" t="s">
        <v>257</v>
      </c>
      <c r="C50" s="33" t="s">
        <v>237</v>
      </c>
      <c r="D50" s="33" t="s">
        <v>261</v>
      </c>
      <c r="E50" s="1" t="s">
        <v>262</v>
      </c>
    </row>
  </sheetData>
  <mergeCells count="16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H5"/>
    <mergeCell ref="A8:H8"/>
    <mergeCell ref="A13:H13"/>
    <mergeCell ref="A17:H17"/>
    <mergeCell ref="A20:H2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9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109375" defaultRowHeight="13.2" zeroHeight="false" outlineLevelRow="0" outlineLevelCol="0"/>
  <cols>
    <col collapsed="false" customWidth="true" hidden="false" outlineLevel="0" max="1" min="1" style="33" width="24.67"/>
    <col collapsed="false" customWidth="true" hidden="false" outlineLevel="0" max="2" min="2" style="33" width="29.89"/>
    <col collapsed="false" customWidth="true" hidden="false" outlineLevel="0" max="3" min="3" style="33" width="14.88"/>
    <col collapsed="false" customWidth="true" hidden="false" outlineLevel="0" max="4" min="4" style="33" width="11.89"/>
    <col collapsed="false" customWidth="true" hidden="false" outlineLevel="0" max="5" min="5" style="33" width="21.78"/>
    <col collapsed="false" customWidth="true" hidden="false" outlineLevel="0" max="6" min="6" style="33" width="30.89"/>
    <col collapsed="false" customWidth="true" hidden="false" outlineLevel="0" max="10" min="7" style="34" width="4.56"/>
    <col collapsed="false" customWidth="true" hidden="false" outlineLevel="0" max="11" min="11" style="1" width="7.67"/>
    <col collapsed="false" customWidth="true" hidden="false" outlineLevel="0" max="12" min="12" style="35" width="7.56"/>
    <col collapsed="false" customWidth="true" hidden="false" outlineLevel="0" max="13" min="13" style="33" width="8.33"/>
    <col collapsed="false" customWidth="false" hidden="false" outlineLevel="0" max="1024" min="14" style="34" width="9.11"/>
  </cols>
  <sheetData>
    <row r="1" s="35" customFormat="true" ht="28.95" hidden="false" customHeight="true" outlineLevel="0" collapsed="false">
      <c r="A1" s="36" t="s">
        <v>263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="35" customFormat="true" ht="61.95" hidden="false" customHeight="true" outlineLevel="0" collapsed="false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="9" customFormat="true" ht="12.75" hidden="false" customHeight="true" outlineLevel="0" collapsed="false">
      <c r="A3" s="37" t="s">
        <v>1</v>
      </c>
      <c r="B3" s="38" t="s">
        <v>2</v>
      </c>
      <c r="C3" s="38" t="s">
        <v>186</v>
      </c>
      <c r="D3" s="39" t="s">
        <v>4</v>
      </c>
      <c r="E3" s="39" t="s">
        <v>5</v>
      </c>
      <c r="F3" s="39" t="s">
        <v>6</v>
      </c>
      <c r="G3" s="40" t="s">
        <v>264</v>
      </c>
      <c r="H3" s="40"/>
      <c r="I3" s="40"/>
      <c r="J3" s="40"/>
      <c r="K3" s="39" t="s">
        <v>8</v>
      </c>
      <c r="L3" s="39" t="s">
        <v>189</v>
      </c>
      <c r="M3" s="41" t="s">
        <v>190</v>
      </c>
    </row>
    <row r="4" s="9" customFormat="true" ht="21" hidden="false" customHeight="true" outlineLevel="0" collapsed="false">
      <c r="A4" s="37"/>
      <c r="B4" s="38"/>
      <c r="C4" s="38"/>
      <c r="D4" s="38"/>
      <c r="E4" s="38"/>
      <c r="F4" s="38"/>
      <c r="G4" s="42" t="n">
        <v>1</v>
      </c>
      <c r="H4" s="42" t="n">
        <v>2</v>
      </c>
      <c r="I4" s="42" t="n">
        <v>3</v>
      </c>
      <c r="J4" s="42" t="s">
        <v>265</v>
      </c>
      <c r="K4" s="39"/>
      <c r="L4" s="39"/>
      <c r="M4" s="41"/>
    </row>
    <row r="5" customFormat="false" ht="15.6" hidden="false" customHeight="false" outlineLevel="0" collapsed="false">
      <c r="A5" s="11" t="s">
        <v>266</v>
      </c>
      <c r="B5" s="11"/>
      <c r="C5" s="11"/>
      <c r="D5" s="11"/>
      <c r="E5" s="11"/>
      <c r="F5" s="11"/>
      <c r="G5" s="11"/>
      <c r="H5" s="11"/>
      <c r="I5" s="11"/>
      <c r="J5" s="11"/>
    </row>
    <row r="6" customFormat="false" ht="13.2" hidden="false" customHeight="false" outlineLevel="0" collapsed="false">
      <c r="A6" s="18" t="s">
        <v>267</v>
      </c>
      <c r="B6" s="18" t="s">
        <v>268</v>
      </c>
      <c r="C6" s="18" t="s">
        <v>269</v>
      </c>
      <c r="D6" s="18" t="str">
        <f aca="false">"0,9289"</f>
        <v>0,9289</v>
      </c>
      <c r="E6" s="18" t="s">
        <v>48</v>
      </c>
      <c r="F6" s="18" t="s">
        <v>39</v>
      </c>
      <c r="G6" s="17" t="s">
        <v>16</v>
      </c>
      <c r="H6" s="32" t="s">
        <v>17</v>
      </c>
      <c r="I6" s="32" t="s">
        <v>17</v>
      </c>
      <c r="J6" s="32"/>
      <c r="K6" s="16" t="str">
        <f aca="false">"25,0"</f>
        <v>25,0</v>
      </c>
      <c r="L6" s="44" t="str">
        <f aca="false">"23,2225"</f>
        <v>23,2225</v>
      </c>
      <c r="M6" s="18" t="s">
        <v>22</v>
      </c>
    </row>
    <row r="7" customFormat="false" ht="13.2" hidden="false" customHeight="false" outlineLevel="0" collapsed="false">
      <c r="A7" s="21" t="s">
        <v>11</v>
      </c>
      <c r="B7" s="21" t="s">
        <v>12</v>
      </c>
      <c r="C7" s="21" t="s">
        <v>13</v>
      </c>
      <c r="D7" s="21" t="str">
        <f aca="false">"0,9028"</f>
        <v>0,9028</v>
      </c>
      <c r="E7" s="21" t="s">
        <v>14</v>
      </c>
      <c r="F7" s="21" t="s">
        <v>15</v>
      </c>
      <c r="G7" s="20" t="s">
        <v>16</v>
      </c>
      <c r="H7" s="31" t="s">
        <v>270</v>
      </c>
      <c r="I7" s="31" t="s">
        <v>270</v>
      </c>
      <c r="J7" s="31"/>
      <c r="K7" s="19" t="str">
        <f aca="false">"25,0"</f>
        <v>25,0</v>
      </c>
      <c r="L7" s="49" t="str">
        <f aca="false">"22,5700"</f>
        <v>22,5700</v>
      </c>
      <c r="M7" s="21" t="s">
        <v>22</v>
      </c>
    </row>
    <row r="9" customFormat="false" ht="15.6" hidden="false" customHeight="false" outlineLevel="0" collapsed="false">
      <c r="A9" s="15" t="s">
        <v>271</v>
      </c>
      <c r="B9" s="15"/>
      <c r="C9" s="15"/>
      <c r="D9" s="15"/>
      <c r="E9" s="15"/>
      <c r="F9" s="15"/>
      <c r="G9" s="15"/>
      <c r="H9" s="15"/>
      <c r="I9" s="15"/>
      <c r="J9" s="15"/>
    </row>
    <row r="10" customFormat="false" ht="13.2" hidden="false" customHeight="false" outlineLevel="0" collapsed="false">
      <c r="A10" s="14" t="s">
        <v>272</v>
      </c>
      <c r="B10" s="14" t="s">
        <v>273</v>
      </c>
      <c r="C10" s="14" t="s">
        <v>274</v>
      </c>
      <c r="D10" s="14" t="str">
        <f aca="false">"0,8612"</f>
        <v>0,8612</v>
      </c>
      <c r="E10" s="14" t="s">
        <v>48</v>
      </c>
      <c r="F10" s="14" t="s">
        <v>275</v>
      </c>
      <c r="G10" s="22" t="s">
        <v>19</v>
      </c>
      <c r="H10" s="13" t="s">
        <v>276</v>
      </c>
      <c r="I10" s="22" t="s">
        <v>28</v>
      </c>
      <c r="J10" s="22"/>
      <c r="K10" s="12" t="str">
        <f aca="false">"47,5"</f>
        <v>47,5</v>
      </c>
      <c r="L10" s="43" t="str">
        <f aca="false">"40,9070"</f>
        <v>40,9070</v>
      </c>
      <c r="M10" s="14" t="s">
        <v>22</v>
      </c>
    </row>
    <row r="12" customFormat="false" ht="15.6" hidden="false" customHeight="false" outlineLevel="0" collapsed="false">
      <c r="A12" s="15" t="s">
        <v>266</v>
      </c>
      <c r="B12" s="15"/>
      <c r="C12" s="15"/>
      <c r="D12" s="15"/>
      <c r="E12" s="15"/>
      <c r="F12" s="15"/>
      <c r="G12" s="15"/>
      <c r="H12" s="15"/>
      <c r="I12" s="15"/>
      <c r="J12" s="15"/>
    </row>
    <row r="13" customFormat="false" ht="13.2" hidden="false" customHeight="false" outlineLevel="0" collapsed="false">
      <c r="A13" s="14" t="s">
        <v>277</v>
      </c>
      <c r="B13" s="14" t="s">
        <v>278</v>
      </c>
      <c r="C13" s="14" t="s">
        <v>279</v>
      </c>
      <c r="D13" s="14" t="str">
        <f aca="false">"0,8109"</f>
        <v>0,8109</v>
      </c>
      <c r="E13" s="14" t="s">
        <v>14</v>
      </c>
      <c r="F13" s="14" t="s">
        <v>280</v>
      </c>
      <c r="G13" s="22" t="s">
        <v>19</v>
      </c>
      <c r="H13" s="13" t="s">
        <v>19</v>
      </c>
      <c r="I13" s="22"/>
      <c r="J13" s="22"/>
      <c r="K13" s="12" t="str">
        <f aca="false">"45,0"</f>
        <v>45,0</v>
      </c>
      <c r="L13" s="43" t="str">
        <f aca="false">"36,4927"</f>
        <v>36,4927</v>
      </c>
      <c r="M13" s="14" t="s">
        <v>22</v>
      </c>
    </row>
    <row r="15" customFormat="false" ht="15.6" hidden="false" customHeight="false" outlineLevel="0" collapsed="false">
      <c r="A15" s="15" t="s">
        <v>199</v>
      </c>
      <c r="B15" s="15"/>
      <c r="C15" s="15"/>
      <c r="D15" s="15"/>
      <c r="E15" s="15"/>
      <c r="F15" s="15"/>
      <c r="G15" s="15"/>
      <c r="H15" s="15"/>
      <c r="I15" s="15"/>
      <c r="J15" s="15"/>
    </row>
    <row r="16" customFormat="false" ht="13.2" hidden="false" customHeight="false" outlineLevel="0" collapsed="false">
      <c r="A16" s="18" t="s">
        <v>104</v>
      </c>
      <c r="B16" s="18" t="s">
        <v>281</v>
      </c>
      <c r="C16" s="18" t="s">
        <v>106</v>
      </c>
      <c r="D16" s="18" t="str">
        <f aca="false">"0,6983"</f>
        <v>0,6983</v>
      </c>
      <c r="E16" s="18" t="s">
        <v>48</v>
      </c>
      <c r="F16" s="18" t="s">
        <v>39</v>
      </c>
      <c r="G16" s="17" t="s">
        <v>197</v>
      </c>
      <c r="H16" s="32" t="s">
        <v>282</v>
      </c>
      <c r="I16" s="32" t="s">
        <v>282</v>
      </c>
      <c r="J16" s="32"/>
      <c r="K16" s="16" t="str">
        <f aca="false">"57,5"</f>
        <v>57,5</v>
      </c>
      <c r="L16" s="44" t="str">
        <f aca="false">"40,1523"</f>
        <v>40,1523</v>
      </c>
      <c r="M16" s="18" t="s">
        <v>22</v>
      </c>
    </row>
    <row r="17" customFormat="false" ht="13.2" hidden="false" customHeight="false" outlineLevel="0" collapsed="false">
      <c r="A17" s="45" t="s">
        <v>283</v>
      </c>
      <c r="B17" s="45" t="s">
        <v>284</v>
      </c>
      <c r="C17" s="45" t="s">
        <v>285</v>
      </c>
      <c r="D17" s="45" t="str">
        <f aca="false">"0,7288"</f>
        <v>0,7288</v>
      </c>
      <c r="E17" s="45" t="s">
        <v>48</v>
      </c>
      <c r="F17" s="45" t="s">
        <v>39</v>
      </c>
      <c r="G17" s="46" t="s">
        <v>276</v>
      </c>
      <c r="H17" s="46" t="s">
        <v>286</v>
      </c>
      <c r="I17" s="55" t="s">
        <v>287</v>
      </c>
      <c r="J17" s="55"/>
      <c r="K17" s="47" t="str">
        <f aca="false">"52,5"</f>
        <v>52,5</v>
      </c>
      <c r="L17" s="48" t="str">
        <f aca="false">"38,2620"</f>
        <v>38,2620</v>
      </c>
      <c r="M17" s="45" t="s">
        <v>22</v>
      </c>
    </row>
    <row r="18" customFormat="false" ht="13.2" hidden="false" customHeight="false" outlineLevel="0" collapsed="false">
      <c r="A18" s="45" t="s">
        <v>288</v>
      </c>
      <c r="B18" s="45" t="s">
        <v>289</v>
      </c>
      <c r="C18" s="45" t="s">
        <v>290</v>
      </c>
      <c r="D18" s="45" t="str">
        <f aca="false">"0,7132"</f>
        <v>0,7132</v>
      </c>
      <c r="E18" s="45" t="s">
        <v>14</v>
      </c>
      <c r="F18" s="45" t="s">
        <v>39</v>
      </c>
      <c r="G18" s="46" t="s">
        <v>197</v>
      </c>
      <c r="H18" s="46" t="s">
        <v>29</v>
      </c>
      <c r="I18" s="55" t="s">
        <v>282</v>
      </c>
      <c r="J18" s="55"/>
      <c r="K18" s="47" t="str">
        <f aca="false">"60,0"</f>
        <v>60,0</v>
      </c>
      <c r="L18" s="48" t="str">
        <f aca="false">"42,7950"</f>
        <v>42,7950</v>
      </c>
      <c r="M18" s="45" t="s">
        <v>22</v>
      </c>
    </row>
    <row r="19" customFormat="false" ht="13.2" hidden="false" customHeight="false" outlineLevel="0" collapsed="false">
      <c r="A19" s="45" t="s">
        <v>291</v>
      </c>
      <c r="B19" s="45" t="s">
        <v>292</v>
      </c>
      <c r="C19" s="45" t="s">
        <v>293</v>
      </c>
      <c r="D19" s="45" t="str">
        <f aca="false">"0,6969"</f>
        <v>0,6969</v>
      </c>
      <c r="E19" s="45" t="s">
        <v>14</v>
      </c>
      <c r="F19" s="45" t="s">
        <v>39</v>
      </c>
      <c r="G19" s="46" t="s">
        <v>287</v>
      </c>
      <c r="H19" s="46" t="s">
        <v>197</v>
      </c>
      <c r="I19" s="46" t="s">
        <v>29</v>
      </c>
      <c r="J19" s="55"/>
      <c r="K19" s="47" t="str">
        <f aca="false">"60,0"</f>
        <v>60,0</v>
      </c>
      <c r="L19" s="48" t="str">
        <f aca="false">"41,8110"</f>
        <v>41,8110</v>
      </c>
      <c r="M19" s="45" t="s">
        <v>22</v>
      </c>
    </row>
    <row r="20" customFormat="false" ht="13.2" hidden="false" customHeight="false" outlineLevel="0" collapsed="false">
      <c r="A20" s="45" t="s">
        <v>294</v>
      </c>
      <c r="B20" s="45" t="s">
        <v>205</v>
      </c>
      <c r="C20" s="45" t="s">
        <v>206</v>
      </c>
      <c r="D20" s="45" t="str">
        <f aca="false">"0,6885"</f>
        <v>0,6885</v>
      </c>
      <c r="E20" s="45" t="s">
        <v>14</v>
      </c>
      <c r="F20" s="45" t="s">
        <v>207</v>
      </c>
      <c r="G20" s="46" t="s">
        <v>28</v>
      </c>
      <c r="H20" s="46" t="s">
        <v>197</v>
      </c>
      <c r="I20" s="55" t="s">
        <v>29</v>
      </c>
      <c r="J20" s="55"/>
      <c r="K20" s="47" t="str">
        <f aca="false">"57,5"</f>
        <v>57,5</v>
      </c>
      <c r="L20" s="48" t="str">
        <f aca="false">"39,5916"</f>
        <v>39,5916</v>
      </c>
      <c r="M20" s="45" t="s">
        <v>22</v>
      </c>
    </row>
    <row r="21" customFormat="false" ht="13.2" hidden="false" customHeight="false" outlineLevel="0" collapsed="false">
      <c r="A21" s="45" t="s">
        <v>209</v>
      </c>
      <c r="B21" s="45" t="s">
        <v>295</v>
      </c>
      <c r="C21" s="45" t="s">
        <v>211</v>
      </c>
      <c r="D21" s="45" t="str">
        <f aca="false">"0,7164"</f>
        <v>0,7164</v>
      </c>
      <c r="E21" s="45" t="s">
        <v>48</v>
      </c>
      <c r="F21" s="45" t="s">
        <v>39</v>
      </c>
      <c r="G21" s="46" t="s">
        <v>29</v>
      </c>
      <c r="H21" s="46" t="s">
        <v>282</v>
      </c>
      <c r="I21" s="55"/>
      <c r="J21" s="55"/>
      <c r="K21" s="47" t="str">
        <f aca="false">"62,5"</f>
        <v>62,5</v>
      </c>
      <c r="L21" s="48" t="str">
        <f aca="false">"45,6737"</f>
        <v>45,6737</v>
      </c>
      <c r="M21" s="45" t="s">
        <v>22</v>
      </c>
    </row>
    <row r="22" customFormat="false" ht="13.2" hidden="false" customHeight="false" outlineLevel="0" collapsed="false">
      <c r="A22" s="21" t="s">
        <v>296</v>
      </c>
      <c r="B22" s="21" t="s">
        <v>297</v>
      </c>
      <c r="C22" s="21" t="s">
        <v>293</v>
      </c>
      <c r="D22" s="21" t="str">
        <f aca="false">"0,6969"</f>
        <v>0,6969</v>
      </c>
      <c r="E22" s="21" t="s">
        <v>14</v>
      </c>
      <c r="F22" s="21" t="s">
        <v>39</v>
      </c>
      <c r="G22" s="20" t="s">
        <v>286</v>
      </c>
      <c r="H22" s="31" t="s">
        <v>287</v>
      </c>
      <c r="I22" s="20" t="s">
        <v>287</v>
      </c>
      <c r="J22" s="31"/>
      <c r="K22" s="19" t="str">
        <f aca="false">"55,0"</f>
        <v>55,0</v>
      </c>
      <c r="L22" s="49" t="str">
        <f aca="false">"48,5983"</f>
        <v>48,5983</v>
      </c>
      <c r="M22" s="21" t="s">
        <v>22</v>
      </c>
    </row>
    <row r="24" customFormat="false" ht="15.6" hidden="false" customHeight="false" outlineLevel="0" collapsed="false">
      <c r="A24" s="15" t="s">
        <v>213</v>
      </c>
      <c r="B24" s="15"/>
      <c r="C24" s="15"/>
      <c r="D24" s="15"/>
      <c r="E24" s="15"/>
      <c r="F24" s="15"/>
      <c r="G24" s="15"/>
      <c r="H24" s="15"/>
      <c r="I24" s="15"/>
      <c r="J24" s="15"/>
    </row>
    <row r="25" customFormat="false" ht="13.2" hidden="false" customHeight="false" outlineLevel="0" collapsed="false">
      <c r="A25" s="18" t="s">
        <v>298</v>
      </c>
      <c r="B25" s="18" t="s">
        <v>299</v>
      </c>
      <c r="C25" s="18" t="s">
        <v>300</v>
      </c>
      <c r="D25" s="18" t="str">
        <f aca="false">"0,6635"</f>
        <v>0,6635</v>
      </c>
      <c r="E25" s="18" t="s">
        <v>14</v>
      </c>
      <c r="F25" s="18" t="s">
        <v>301</v>
      </c>
      <c r="G25" s="17" t="s">
        <v>197</v>
      </c>
      <c r="H25" s="17" t="s">
        <v>29</v>
      </c>
      <c r="I25" s="32" t="s">
        <v>282</v>
      </c>
      <c r="J25" s="32"/>
      <c r="K25" s="16" t="str">
        <f aca="false">"60,0"</f>
        <v>60,0</v>
      </c>
      <c r="L25" s="44" t="str">
        <f aca="false">"39,8100"</f>
        <v>39,8100</v>
      </c>
      <c r="M25" s="18" t="s">
        <v>22</v>
      </c>
    </row>
    <row r="26" customFormat="false" ht="13.2" hidden="false" customHeight="false" outlineLevel="0" collapsed="false">
      <c r="A26" s="45" t="s">
        <v>302</v>
      </c>
      <c r="B26" s="45" t="s">
        <v>303</v>
      </c>
      <c r="C26" s="45" t="s">
        <v>304</v>
      </c>
      <c r="D26" s="45" t="str">
        <f aca="false">"0,6578"</f>
        <v>0,6578</v>
      </c>
      <c r="E26" s="45" t="s">
        <v>14</v>
      </c>
      <c r="F26" s="45" t="s">
        <v>39</v>
      </c>
      <c r="G26" s="46" t="s">
        <v>29</v>
      </c>
      <c r="H26" s="46" t="s">
        <v>282</v>
      </c>
      <c r="I26" s="46" t="s">
        <v>99</v>
      </c>
      <c r="J26" s="55"/>
      <c r="K26" s="47" t="str">
        <f aca="false">"65,0"</f>
        <v>65,0</v>
      </c>
      <c r="L26" s="48" t="str">
        <f aca="false">"42,7570"</f>
        <v>42,7570</v>
      </c>
      <c r="M26" s="45" t="s">
        <v>22</v>
      </c>
    </row>
    <row r="27" customFormat="false" ht="13.2" hidden="false" customHeight="false" outlineLevel="0" collapsed="false">
      <c r="A27" s="45" t="s">
        <v>305</v>
      </c>
      <c r="B27" s="45" t="s">
        <v>306</v>
      </c>
      <c r="C27" s="45" t="s">
        <v>307</v>
      </c>
      <c r="D27" s="45" t="str">
        <f aca="false">"0,6706"</f>
        <v>0,6706</v>
      </c>
      <c r="E27" s="45" t="s">
        <v>14</v>
      </c>
      <c r="F27" s="45" t="s">
        <v>39</v>
      </c>
      <c r="G27" s="46" t="s">
        <v>276</v>
      </c>
      <c r="H27" s="46" t="s">
        <v>286</v>
      </c>
      <c r="I27" s="46" t="s">
        <v>287</v>
      </c>
      <c r="J27" s="55"/>
      <c r="K27" s="47" t="str">
        <f aca="false">"55,0"</f>
        <v>55,0</v>
      </c>
      <c r="L27" s="48" t="str">
        <f aca="false">"36,8830"</f>
        <v>36,8830</v>
      </c>
      <c r="M27" s="45" t="s">
        <v>22</v>
      </c>
    </row>
    <row r="28" customFormat="false" ht="13.2" hidden="false" customHeight="false" outlineLevel="0" collapsed="false">
      <c r="A28" s="21" t="s">
        <v>308</v>
      </c>
      <c r="B28" s="21" t="s">
        <v>309</v>
      </c>
      <c r="C28" s="21" t="s">
        <v>310</v>
      </c>
      <c r="D28" s="21" t="str">
        <f aca="false">"0,6652"</f>
        <v>0,6652</v>
      </c>
      <c r="E28" s="21" t="s">
        <v>14</v>
      </c>
      <c r="F28" s="21" t="s">
        <v>157</v>
      </c>
      <c r="G28" s="20" t="s">
        <v>18</v>
      </c>
      <c r="H28" s="20" t="s">
        <v>19</v>
      </c>
      <c r="I28" s="20" t="s">
        <v>28</v>
      </c>
      <c r="J28" s="31"/>
      <c r="K28" s="19" t="str">
        <f aca="false">"50,0"</f>
        <v>50,0</v>
      </c>
      <c r="L28" s="49" t="str">
        <f aca="false">"38,1492"</f>
        <v>38,1492</v>
      </c>
      <c r="M28" s="21" t="s">
        <v>22</v>
      </c>
    </row>
    <row r="30" customFormat="false" ht="15.6" hidden="false" customHeight="false" outlineLevel="0" collapsed="false">
      <c r="A30" s="15" t="s">
        <v>35</v>
      </c>
      <c r="B30" s="15"/>
      <c r="C30" s="15"/>
      <c r="D30" s="15"/>
      <c r="E30" s="15"/>
      <c r="F30" s="15"/>
      <c r="G30" s="15"/>
      <c r="H30" s="15"/>
      <c r="I30" s="15"/>
      <c r="J30" s="15"/>
    </row>
    <row r="31" customFormat="false" ht="13.2" hidden="false" customHeight="false" outlineLevel="0" collapsed="false">
      <c r="A31" s="18" t="s">
        <v>311</v>
      </c>
      <c r="B31" s="18" t="s">
        <v>312</v>
      </c>
      <c r="C31" s="18" t="s">
        <v>313</v>
      </c>
      <c r="D31" s="18" t="str">
        <f aca="false">"0,6133"</f>
        <v>0,6133</v>
      </c>
      <c r="E31" s="18" t="s">
        <v>14</v>
      </c>
      <c r="F31" s="18" t="s">
        <v>39</v>
      </c>
      <c r="G31" s="32" t="s">
        <v>28</v>
      </c>
      <c r="H31" s="17" t="s">
        <v>287</v>
      </c>
      <c r="I31" s="17" t="s">
        <v>29</v>
      </c>
      <c r="J31" s="32"/>
      <c r="K31" s="16" t="str">
        <f aca="false">"60,0"</f>
        <v>60,0</v>
      </c>
      <c r="L31" s="44" t="str">
        <f aca="false">"36,8010"</f>
        <v>36,8010</v>
      </c>
      <c r="M31" s="18" t="s">
        <v>22</v>
      </c>
    </row>
    <row r="32" customFormat="false" ht="13.2" hidden="false" customHeight="false" outlineLevel="0" collapsed="false">
      <c r="A32" s="21" t="s">
        <v>314</v>
      </c>
      <c r="B32" s="21" t="s">
        <v>315</v>
      </c>
      <c r="C32" s="21" t="s">
        <v>316</v>
      </c>
      <c r="D32" s="21" t="str">
        <f aca="false">"0,6281"</f>
        <v>0,6281</v>
      </c>
      <c r="E32" s="21" t="s">
        <v>14</v>
      </c>
      <c r="F32" s="21" t="s">
        <v>317</v>
      </c>
      <c r="G32" s="20" t="s">
        <v>28</v>
      </c>
      <c r="H32" s="20" t="s">
        <v>287</v>
      </c>
      <c r="I32" s="31" t="s">
        <v>29</v>
      </c>
      <c r="J32" s="31"/>
      <c r="K32" s="19" t="str">
        <f aca="false">"55,0"</f>
        <v>55,0</v>
      </c>
      <c r="L32" s="49" t="str">
        <f aca="false">"34,5455"</f>
        <v>34,5455</v>
      </c>
      <c r="M32" s="21" t="s">
        <v>22</v>
      </c>
    </row>
    <row r="34" customFormat="false" ht="15.6" hidden="false" customHeight="false" outlineLevel="0" collapsed="false">
      <c r="A34" s="15" t="s">
        <v>44</v>
      </c>
      <c r="B34" s="15"/>
      <c r="C34" s="15"/>
      <c r="D34" s="15"/>
      <c r="E34" s="15"/>
      <c r="F34" s="15"/>
      <c r="G34" s="15"/>
      <c r="H34" s="15"/>
      <c r="I34" s="15"/>
      <c r="J34" s="15"/>
    </row>
    <row r="35" customFormat="false" ht="13.2" hidden="false" customHeight="false" outlineLevel="0" collapsed="false">
      <c r="A35" s="18" t="s">
        <v>45</v>
      </c>
      <c r="B35" s="18" t="s">
        <v>318</v>
      </c>
      <c r="C35" s="18" t="s">
        <v>47</v>
      </c>
      <c r="D35" s="18" t="str">
        <f aca="false">"0,6071"</f>
        <v>0,6071</v>
      </c>
      <c r="E35" s="18" t="s">
        <v>48</v>
      </c>
      <c r="F35" s="18" t="s">
        <v>39</v>
      </c>
      <c r="G35" s="17" t="s">
        <v>319</v>
      </c>
      <c r="H35" s="32" t="s">
        <v>100</v>
      </c>
      <c r="I35" s="17" t="s">
        <v>100</v>
      </c>
      <c r="J35" s="32"/>
      <c r="K35" s="16" t="str">
        <f aca="false">"72,5"</f>
        <v>72,5</v>
      </c>
      <c r="L35" s="44" t="str">
        <f aca="false">"44,0148"</f>
        <v>44,0148</v>
      </c>
      <c r="M35" s="18" t="s">
        <v>22</v>
      </c>
    </row>
    <row r="36" customFormat="false" ht="13.2" hidden="false" customHeight="false" outlineLevel="0" collapsed="false">
      <c r="A36" s="45" t="s">
        <v>320</v>
      </c>
      <c r="B36" s="45" t="s">
        <v>321</v>
      </c>
      <c r="C36" s="45" t="s">
        <v>322</v>
      </c>
      <c r="D36" s="45" t="str">
        <f aca="false">"0,5840"</f>
        <v>0,5840</v>
      </c>
      <c r="E36" s="45" t="s">
        <v>14</v>
      </c>
      <c r="F36" s="45" t="s">
        <v>39</v>
      </c>
      <c r="G36" s="46" t="s">
        <v>287</v>
      </c>
      <c r="H36" s="46" t="s">
        <v>29</v>
      </c>
      <c r="I36" s="55" t="s">
        <v>282</v>
      </c>
      <c r="J36" s="55"/>
      <c r="K36" s="47" t="str">
        <f aca="false">"60,0"</f>
        <v>60,0</v>
      </c>
      <c r="L36" s="48" t="str">
        <f aca="false">"35,0430"</f>
        <v>35,0430</v>
      </c>
      <c r="M36" s="45" t="s">
        <v>22</v>
      </c>
    </row>
    <row r="37" customFormat="false" ht="13.2" hidden="false" customHeight="false" outlineLevel="0" collapsed="false">
      <c r="A37" s="21" t="s">
        <v>323</v>
      </c>
      <c r="B37" s="21" t="s">
        <v>324</v>
      </c>
      <c r="C37" s="21" t="s">
        <v>325</v>
      </c>
      <c r="D37" s="21" t="str">
        <f aca="false">"0,5831"</f>
        <v>0,5831</v>
      </c>
      <c r="E37" s="21" t="s">
        <v>14</v>
      </c>
      <c r="F37" s="21" t="s">
        <v>280</v>
      </c>
      <c r="G37" s="20" t="s">
        <v>28</v>
      </c>
      <c r="H37" s="20" t="s">
        <v>287</v>
      </c>
      <c r="I37" s="20" t="s">
        <v>29</v>
      </c>
      <c r="J37" s="31"/>
      <c r="K37" s="19" t="str">
        <f aca="false">"60,0"</f>
        <v>60,0</v>
      </c>
      <c r="L37" s="49" t="str">
        <f aca="false">"36,9071"</f>
        <v>36,9071</v>
      </c>
      <c r="M37" s="21" t="s">
        <v>22</v>
      </c>
    </row>
    <row r="39" customFormat="false" ht="15.6" hidden="false" customHeight="false" outlineLevel="0" collapsed="false">
      <c r="A39" s="15" t="s">
        <v>126</v>
      </c>
      <c r="B39" s="15"/>
      <c r="C39" s="15"/>
      <c r="D39" s="15"/>
      <c r="E39" s="15"/>
      <c r="F39" s="15"/>
      <c r="G39" s="15"/>
      <c r="H39" s="15"/>
      <c r="I39" s="15"/>
      <c r="J39" s="15"/>
    </row>
    <row r="40" customFormat="false" ht="13.2" hidden="false" customHeight="false" outlineLevel="0" collapsed="false">
      <c r="A40" s="14" t="s">
        <v>326</v>
      </c>
      <c r="B40" s="14" t="s">
        <v>327</v>
      </c>
      <c r="C40" s="14" t="s">
        <v>328</v>
      </c>
      <c r="D40" s="14" t="str">
        <f aca="false">"0,5616"</f>
        <v>0,5616</v>
      </c>
      <c r="E40" s="14" t="s">
        <v>14</v>
      </c>
      <c r="F40" s="14" t="s">
        <v>39</v>
      </c>
      <c r="G40" s="13" t="s">
        <v>18</v>
      </c>
      <c r="H40" s="13" t="s">
        <v>19</v>
      </c>
      <c r="I40" s="13" t="s">
        <v>276</v>
      </c>
      <c r="J40" s="22"/>
      <c r="K40" s="12" t="str">
        <f aca="false">"47,5"</f>
        <v>47,5</v>
      </c>
      <c r="L40" s="43" t="str">
        <f aca="false">"33,8222"</f>
        <v>33,8222</v>
      </c>
      <c r="M40" s="14" t="s">
        <v>22</v>
      </c>
    </row>
    <row r="42" customFormat="false" ht="15.6" hidden="false" customHeight="false" outlineLevel="0" collapsed="false">
      <c r="A42" s="15" t="s">
        <v>329</v>
      </c>
      <c r="B42" s="15"/>
      <c r="C42" s="15"/>
      <c r="D42" s="15"/>
      <c r="E42" s="15"/>
      <c r="F42" s="15"/>
      <c r="G42" s="15"/>
      <c r="H42" s="15"/>
      <c r="I42" s="15"/>
      <c r="J42" s="15"/>
    </row>
    <row r="43" customFormat="false" ht="13.2" hidden="false" customHeight="false" outlineLevel="0" collapsed="false">
      <c r="A43" s="14" t="s">
        <v>330</v>
      </c>
      <c r="B43" s="14" t="s">
        <v>331</v>
      </c>
      <c r="C43" s="14" t="s">
        <v>332</v>
      </c>
      <c r="D43" s="14" t="str">
        <f aca="false">"0,5428"</f>
        <v>0,5428</v>
      </c>
      <c r="E43" s="14" t="s">
        <v>14</v>
      </c>
      <c r="F43" s="14" t="s">
        <v>333</v>
      </c>
      <c r="G43" s="13" t="s">
        <v>282</v>
      </c>
      <c r="H43" s="13" t="s">
        <v>319</v>
      </c>
      <c r="I43" s="22" t="s">
        <v>100</v>
      </c>
      <c r="J43" s="22"/>
      <c r="K43" s="12" t="str">
        <f aca="false">"67,5"</f>
        <v>67,5</v>
      </c>
      <c r="L43" s="43" t="str">
        <f aca="false">"36,6403"</f>
        <v>36,6403</v>
      </c>
      <c r="M43" s="14" t="s">
        <v>22</v>
      </c>
    </row>
    <row r="45" customFormat="false" ht="15" hidden="false" customHeight="false" outlineLevel="0" collapsed="false">
      <c r="E45" s="23" t="s">
        <v>53</v>
      </c>
    </row>
    <row r="46" customFormat="false" ht="15" hidden="false" customHeight="false" outlineLevel="0" collapsed="false">
      <c r="E46" s="23" t="s">
        <v>54</v>
      </c>
    </row>
    <row r="47" customFormat="false" ht="15" hidden="false" customHeight="false" outlineLevel="0" collapsed="false">
      <c r="E47" s="23" t="s">
        <v>55</v>
      </c>
    </row>
    <row r="48" customFormat="false" ht="15" hidden="false" customHeight="false" outlineLevel="0" collapsed="false">
      <c r="E48" s="23" t="s">
        <v>56</v>
      </c>
    </row>
    <row r="49" customFormat="false" ht="15" hidden="false" customHeight="false" outlineLevel="0" collapsed="false">
      <c r="E49" s="23" t="s">
        <v>56</v>
      </c>
    </row>
    <row r="50" customFormat="false" ht="15" hidden="false" customHeight="false" outlineLevel="0" collapsed="false">
      <c r="E50" s="23" t="s">
        <v>57</v>
      </c>
    </row>
    <row r="51" customFormat="false" ht="15" hidden="false" customHeight="false" outlineLevel="0" collapsed="false">
      <c r="E51" s="23"/>
    </row>
    <row r="53" customFormat="false" ht="17.4" hidden="false" customHeight="false" outlineLevel="0" collapsed="false">
      <c r="A53" s="50" t="s">
        <v>58</v>
      </c>
      <c r="B53" s="50"/>
    </row>
    <row r="54" customFormat="false" ht="15.6" hidden="false" customHeight="false" outlineLevel="0" collapsed="false">
      <c r="A54" s="51" t="s">
        <v>59</v>
      </c>
      <c r="B54" s="51"/>
    </row>
    <row r="55" customFormat="false" ht="14.4" hidden="false" customHeight="false" outlineLevel="0" collapsed="false">
      <c r="A55" s="52"/>
      <c r="B55" s="53" t="s">
        <v>334</v>
      </c>
    </row>
    <row r="56" customFormat="false" ht="13.8" hidden="false" customHeight="false" outlineLevel="0" collapsed="false">
      <c r="A56" s="29" t="s">
        <v>61</v>
      </c>
      <c r="B56" s="29" t="s">
        <v>62</v>
      </c>
      <c r="C56" s="29" t="s">
        <v>63</v>
      </c>
      <c r="D56" s="29" t="s">
        <v>64</v>
      </c>
      <c r="E56" s="29" t="s">
        <v>65</v>
      </c>
    </row>
    <row r="57" customFormat="false" ht="13.2" hidden="false" customHeight="false" outlineLevel="0" collapsed="false">
      <c r="A57" s="54" t="s">
        <v>335</v>
      </c>
      <c r="B57" s="33" t="s">
        <v>336</v>
      </c>
      <c r="C57" s="33" t="s">
        <v>337</v>
      </c>
      <c r="D57" s="33" t="s">
        <v>16</v>
      </c>
      <c r="E57" s="1" t="s">
        <v>338</v>
      </c>
    </row>
    <row r="59" customFormat="false" ht="14.4" hidden="false" customHeight="false" outlineLevel="0" collapsed="false">
      <c r="A59" s="52"/>
      <c r="B59" s="53" t="s">
        <v>60</v>
      </c>
    </row>
    <row r="60" customFormat="false" ht="13.8" hidden="false" customHeight="false" outlineLevel="0" collapsed="false">
      <c r="A60" s="29" t="s">
        <v>61</v>
      </c>
      <c r="B60" s="29" t="s">
        <v>62</v>
      </c>
      <c r="C60" s="29" t="s">
        <v>63</v>
      </c>
      <c r="D60" s="29" t="s">
        <v>64</v>
      </c>
      <c r="E60" s="29" t="s">
        <v>65</v>
      </c>
    </row>
    <row r="61" customFormat="false" ht="13.2" hidden="false" customHeight="false" outlineLevel="0" collapsed="false">
      <c r="A61" s="54" t="s">
        <v>66</v>
      </c>
      <c r="B61" s="33" t="s">
        <v>60</v>
      </c>
      <c r="C61" s="33" t="s">
        <v>337</v>
      </c>
      <c r="D61" s="33" t="s">
        <v>16</v>
      </c>
      <c r="E61" s="1" t="s">
        <v>339</v>
      </c>
    </row>
    <row r="64" customFormat="false" ht="15.6" hidden="false" customHeight="false" outlineLevel="0" collapsed="false">
      <c r="A64" s="51" t="s">
        <v>69</v>
      </c>
      <c r="B64" s="51"/>
    </row>
    <row r="65" customFormat="false" ht="14.4" hidden="false" customHeight="false" outlineLevel="0" collapsed="false">
      <c r="A65" s="52"/>
      <c r="B65" s="53" t="s">
        <v>340</v>
      </c>
    </row>
    <row r="66" customFormat="false" ht="13.8" hidden="false" customHeight="false" outlineLevel="0" collapsed="false">
      <c r="A66" s="29" t="s">
        <v>61</v>
      </c>
      <c r="B66" s="29" t="s">
        <v>62</v>
      </c>
      <c r="C66" s="29" t="s">
        <v>63</v>
      </c>
      <c r="D66" s="29" t="s">
        <v>64</v>
      </c>
      <c r="E66" s="29" t="s">
        <v>65</v>
      </c>
    </row>
    <row r="67" customFormat="false" ht="13.2" hidden="false" customHeight="false" outlineLevel="0" collapsed="false">
      <c r="A67" s="54" t="s">
        <v>71</v>
      </c>
      <c r="B67" s="33" t="s">
        <v>341</v>
      </c>
      <c r="C67" s="33" t="s">
        <v>72</v>
      </c>
      <c r="D67" s="33" t="s">
        <v>100</v>
      </c>
      <c r="E67" s="1" t="s">
        <v>342</v>
      </c>
    </row>
    <row r="68" customFormat="false" ht="13.2" hidden="false" customHeight="false" outlineLevel="0" collapsed="false">
      <c r="A68" s="54" t="s">
        <v>343</v>
      </c>
      <c r="B68" s="33" t="s">
        <v>341</v>
      </c>
      <c r="C68" s="33" t="s">
        <v>344</v>
      </c>
      <c r="D68" s="33" t="s">
        <v>276</v>
      </c>
      <c r="E68" s="1" t="s">
        <v>345</v>
      </c>
    </row>
    <row r="69" customFormat="false" ht="13.2" hidden="false" customHeight="false" outlineLevel="0" collapsed="false">
      <c r="A69" s="54" t="s">
        <v>139</v>
      </c>
      <c r="B69" s="33" t="s">
        <v>341</v>
      </c>
      <c r="C69" s="33" t="s">
        <v>237</v>
      </c>
      <c r="D69" s="33" t="s">
        <v>197</v>
      </c>
      <c r="E69" s="1" t="s">
        <v>346</v>
      </c>
    </row>
    <row r="70" customFormat="false" ht="13.2" hidden="false" customHeight="false" outlineLevel="0" collapsed="false">
      <c r="A70" s="54" t="s">
        <v>347</v>
      </c>
      <c r="B70" s="33" t="s">
        <v>348</v>
      </c>
      <c r="C70" s="33" t="s">
        <v>337</v>
      </c>
      <c r="D70" s="33" t="s">
        <v>19</v>
      </c>
      <c r="E70" s="1" t="s">
        <v>349</v>
      </c>
    </row>
    <row r="72" customFormat="false" ht="14.4" hidden="false" customHeight="false" outlineLevel="0" collapsed="false">
      <c r="A72" s="52"/>
      <c r="B72" s="53" t="s">
        <v>70</v>
      </c>
    </row>
    <row r="73" customFormat="false" ht="13.8" hidden="false" customHeight="false" outlineLevel="0" collapsed="false">
      <c r="A73" s="29" t="s">
        <v>61</v>
      </c>
      <c r="B73" s="29" t="s">
        <v>62</v>
      </c>
      <c r="C73" s="29" t="s">
        <v>63</v>
      </c>
      <c r="D73" s="29" t="s">
        <v>64</v>
      </c>
      <c r="E73" s="29" t="s">
        <v>65</v>
      </c>
    </row>
    <row r="74" customFormat="false" ht="13.2" hidden="false" customHeight="false" outlineLevel="0" collapsed="false">
      <c r="A74" s="54" t="s">
        <v>350</v>
      </c>
      <c r="B74" s="33" t="s">
        <v>336</v>
      </c>
      <c r="C74" s="33" t="s">
        <v>244</v>
      </c>
      <c r="D74" s="33" t="s">
        <v>29</v>
      </c>
      <c r="E74" s="1" t="s">
        <v>351</v>
      </c>
    </row>
    <row r="75" customFormat="false" ht="13.2" hidden="false" customHeight="false" outlineLevel="0" collapsed="false">
      <c r="A75" s="54" t="s">
        <v>352</v>
      </c>
      <c r="B75" s="33" t="s">
        <v>336</v>
      </c>
      <c r="C75" s="33" t="s">
        <v>237</v>
      </c>
      <c r="D75" s="33" t="s">
        <v>286</v>
      </c>
      <c r="E75" s="1" t="s">
        <v>353</v>
      </c>
    </row>
    <row r="77" customFormat="false" ht="14.4" hidden="false" customHeight="false" outlineLevel="0" collapsed="false">
      <c r="A77" s="52"/>
      <c r="B77" s="53" t="s">
        <v>60</v>
      </c>
    </row>
    <row r="78" customFormat="false" ht="13.8" hidden="false" customHeight="false" outlineLevel="0" collapsed="false">
      <c r="A78" s="29" t="s">
        <v>61</v>
      </c>
      <c r="B78" s="29" t="s">
        <v>62</v>
      </c>
      <c r="C78" s="29" t="s">
        <v>63</v>
      </c>
      <c r="D78" s="29" t="s">
        <v>64</v>
      </c>
      <c r="E78" s="29" t="s">
        <v>65</v>
      </c>
    </row>
    <row r="79" customFormat="false" ht="13.2" hidden="false" customHeight="false" outlineLevel="0" collapsed="false">
      <c r="A79" s="54" t="s">
        <v>354</v>
      </c>
      <c r="B79" s="33" t="s">
        <v>60</v>
      </c>
      <c r="C79" s="33" t="s">
        <v>237</v>
      </c>
      <c r="D79" s="33" t="s">
        <v>29</v>
      </c>
      <c r="E79" s="1" t="s">
        <v>355</v>
      </c>
    </row>
    <row r="80" customFormat="false" ht="13.2" hidden="false" customHeight="false" outlineLevel="0" collapsed="false">
      <c r="A80" s="54" t="s">
        <v>356</v>
      </c>
      <c r="B80" s="33" t="s">
        <v>60</v>
      </c>
      <c r="C80" s="33" t="s">
        <v>244</v>
      </c>
      <c r="D80" s="33" t="s">
        <v>99</v>
      </c>
      <c r="E80" s="1" t="s">
        <v>357</v>
      </c>
    </row>
    <row r="81" customFormat="false" ht="13.2" hidden="false" customHeight="false" outlineLevel="0" collapsed="false">
      <c r="A81" s="54" t="s">
        <v>358</v>
      </c>
      <c r="B81" s="33" t="s">
        <v>60</v>
      </c>
      <c r="C81" s="33" t="s">
        <v>237</v>
      </c>
      <c r="D81" s="33" t="s">
        <v>29</v>
      </c>
      <c r="E81" s="1" t="s">
        <v>359</v>
      </c>
    </row>
    <row r="82" customFormat="false" ht="13.2" hidden="false" customHeight="false" outlineLevel="0" collapsed="false">
      <c r="A82" s="54" t="s">
        <v>240</v>
      </c>
      <c r="B82" s="33" t="s">
        <v>60</v>
      </c>
      <c r="C82" s="33" t="s">
        <v>237</v>
      </c>
      <c r="D82" s="33" t="s">
        <v>197</v>
      </c>
      <c r="E82" s="1" t="s">
        <v>360</v>
      </c>
    </row>
    <row r="83" customFormat="false" ht="13.2" hidden="false" customHeight="false" outlineLevel="0" collapsed="false">
      <c r="A83" s="54" t="s">
        <v>361</v>
      </c>
      <c r="B83" s="33" t="s">
        <v>60</v>
      </c>
      <c r="C83" s="33" t="s">
        <v>244</v>
      </c>
      <c r="D83" s="33" t="s">
        <v>287</v>
      </c>
      <c r="E83" s="1" t="s">
        <v>362</v>
      </c>
    </row>
    <row r="84" customFormat="false" ht="13.2" hidden="false" customHeight="false" outlineLevel="0" collapsed="false">
      <c r="A84" s="54" t="s">
        <v>363</v>
      </c>
      <c r="B84" s="33" t="s">
        <v>60</v>
      </c>
      <c r="C84" s="33" t="s">
        <v>78</v>
      </c>
      <c r="D84" s="33" t="s">
        <v>29</v>
      </c>
      <c r="E84" s="1" t="s">
        <v>364</v>
      </c>
    </row>
    <row r="85" customFormat="false" ht="13.2" hidden="false" customHeight="false" outlineLevel="0" collapsed="false">
      <c r="A85" s="54" t="s">
        <v>365</v>
      </c>
      <c r="B85" s="33" t="s">
        <v>60</v>
      </c>
      <c r="C85" s="33" t="s">
        <v>366</v>
      </c>
      <c r="D85" s="33" t="s">
        <v>319</v>
      </c>
      <c r="E85" s="1" t="s">
        <v>367</v>
      </c>
    </row>
    <row r="86" customFormat="false" ht="13.2" hidden="false" customHeight="false" outlineLevel="0" collapsed="false">
      <c r="A86" s="54" t="s">
        <v>368</v>
      </c>
      <c r="B86" s="33" t="s">
        <v>60</v>
      </c>
      <c r="C86" s="33" t="s">
        <v>72</v>
      </c>
      <c r="D86" s="33" t="s">
        <v>29</v>
      </c>
      <c r="E86" s="1" t="s">
        <v>369</v>
      </c>
    </row>
    <row r="87" customFormat="false" ht="13.2" hidden="false" customHeight="false" outlineLevel="0" collapsed="false">
      <c r="A87" s="54" t="s">
        <v>370</v>
      </c>
      <c r="B87" s="33" t="s">
        <v>60</v>
      </c>
      <c r="C87" s="33" t="s">
        <v>78</v>
      </c>
      <c r="D87" s="33" t="s">
        <v>287</v>
      </c>
      <c r="E87" s="1" t="s">
        <v>371</v>
      </c>
    </row>
    <row r="89" customFormat="false" ht="14.4" hidden="false" customHeight="false" outlineLevel="0" collapsed="false">
      <c r="A89" s="52"/>
      <c r="B89" s="53" t="s">
        <v>250</v>
      </c>
    </row>
    <row r="90" customFormat="false" ht="13.8" hidden="false" customHeight="false" outlineLevel="0" collapsed="false">
      <c r="A90" s="29" t="s">
        <v>61</v>
      </c>
      <c r="B90" s="29" t="s">
        <v>62</v>
      </c>
      <c r="C90" s="29" t="s">
        <v>63</v>
      </c>
      <c r="D90" s="29" t="s">
        <v>64</v>
      </c>
      <c r="E90" s="29" t="s">
        <v>65</v>
      </c>
    </row>
    <row r="91" customFormat="false" ht="13.2" hidden="false" customHeight="false" outlineLevel="0" collapsed="false">
      <c r="A91" s="54" t="s">
        <v>372</v>
      </c>
      <c r="B91" s="33" t="s">
        <v>373</v>
      </c>
      <c r="C91" s="33" t="s">
        <v>237</v>
      </c>
      <c r="D91" s="33" t="s">
        <v>287</v>
      </c>
      <c r="E91" s="1" t="s">
        <v>374</v>
      </c>
    </row>
    <row r="92" customFormat="false" ht="13.2" hidden="false" customHeight="false" outlineLevel="0" collapsed="false">
      <c r="A92" s="54" t="s">
        <v>260</v>
      </c>
      <c r="B92" s="33" t="s">
        <v>375</v>
      </c>
      <c r="C92" s="33" t="s">
        <v>237</v>
      </c>
      <c r="D92" s="33" t="s">
        <v>282</v>
      </c>
      <c r="E92" s="1" t="s">
        <v>376</v>
      </c>
    </row>
    <row r="93" customFormat="false" ht="13.2" hidden="false" customHeight="false" outlineLevel="0" collapsed="false">
      <c r="A93" s="54" t="s">
        <v>377</v>
      </c>
      <c r="B93" s="33" t="s">
        <v>378</v>
      </c>
      <c r="C93" s="33" t="s">
        <v>244</v>
      </c>
      <c r="D93" s="33" t="s">
        <v>28</v>
      </c>
      <c r="E93" s="1" t="s">
        <v>379</v>
      </c>
    </row>
    <row r="94" customFormat="false" ht="13.2" hidden="false" customHeight="false" outlineLevel="0" collapsed="false">
      <c r="A94" s="54" t="s">
        <v>380</v>
      </c>
      <c r="B94" s="33" t="s">
        <v>381</v>
      </c>
      <c r="C94" s="33" t="s">
        <v>72</v>
      </c>
      <c r="D94" s="33" t="s">
        <v>29</v>
      </c>
      <c r="E94" s="1" t="s">
        <v>382</v>
      </c>
    </row>
    <row r="95" customFormat="false" ht="13.2" hidden="false" customHeight="false" outlineLevel="0" collapsed="false">
      <c r="A95" s="54" t="s">
        <v>383</v>
      </c>
      <c r="B95" s="33" t="s">
        <v>373</v>
      </c>
      <c r="C95" s="33" t="s">
        <v>142</v>
      </c>
      <c r="D95" s="33" t="s">
        <v>276</v>
      </c>
      <c r="E95" s="1" t="s">
        <v>384</v>
      </c>
    </row>
  </sheetData>
  <mergeCells count="20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J5"/>
    <mergeCell ref="A9:J9"/>
    <mergeCell ref="A12:J12"/>
    <mergeCell ref="A15:J15"/>
    <mergeCell ref="A24:J24"/>
    <mergeCell ref="A30:J30"/>
    <mergeCell ref="A34:J34"/>
    <mergeCell ref="A39:J39"/>
    <mergeCell ref="A42:J4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7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109375" defaultRowHeight="13.2" zeroHeight="false" outlineLevelRow="0" outlineLevelCol="0"/>
  <cols>
    <col collapsed="false" customWidth="true" hidden="false" outlineLevel="0" max="1" min="1" style="33" width="24.67"/>
    <col collapsed="false" customWidth="true" hidden="false" outlineLevel="0" max="2" min="2" style="33" width="29.89"/>
    <col collapsed="false" customWidth="true" hidden="false" outlineLevel="0" max="3" min="3" style="33" width="14.88"/>
    <col collapsed="false" customWidth="true" hidden="false" outlineLevel="0" max="4" min="4" style="33" width="11.89"/>
    <col collapsed="false" customWidth="true" hidden="false" outlineLevel="0" max="5" min="5" style="33" width="21.78"/>
    <col collapsed="false" customWidth="true" hidden="false" outlineLevel="0" max="6" min="6" style="33" width="38.44"/>
    <col collapsed="false" customWidth="true" hidden="false" outlineLevel="0" max="9" min="7" style="34" width="5.55"/>
    <col collapsed="false" customWidth="true" hidden="false" outlineLevel="0" max="10" min="10" style="34" width="4.56"/>
    <col collapsed="false" customWidth="true" hidden="false" outlineLevel="0" max="11" min="11" style="1" width="7.67"/>
    <col collapsed="false" customWidth="true" hidden="false" outlineLevel="0" max="12" min="12" style="35" width="8.56"/>
    <col collapsed="false" customWidth="true" hidden="false" outlineLevel="0" max="13" min="13" style="33" width="8.33"/>
    <col collapsed="false" customWidth="false" hidden="false" outlineLevel="0" max="1024" min="14" style="34" width="9.11"/>
  </cols>
  <sheetData>
    <row r="1" s="35" customFormat="true" ht="28.95" hidden="false" customHeight="true" outlineLevel="0" collapsed="false">
      <c r="A1" s="36" t="s">
        <v>385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="35" customFormat="true" ht="61.95" hidden="false" customHeight="true" outlineLevel="0" collapsed="false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="9" customFormat="true" ht="12.75" hidden="false" customHeight="true" outlineLevel="0" collapsed="false">
      <c r="A3" s="37" t="s">
        <v>1</v>
      </c>
      <c r="B3" s="38" t="s">
        <v>2</v>
      </c>
      <c r="C3" s="38" t="s">
        <v>186</v>
      </c>
      <c r="D3" s="39" t="s">
        <v>4</v>
      </c>
      <c r="E3" s="39" t="s">
        <v>5</v>
      </c>
      <c r="F3" s="39" t="s">
        <v>6</v>
      </c>
      <c r="G3" s="40" t="s">
        <v>386</v>
      </c>
      <c r="H3" s="40"/>
      <c r="I3" s="40"/>
      <c r="J3" s="40"/>
      <c r="K3" s="39" t="s">
        <v>8</v>
      </c>
      <c r="L3" s="39" t="s">
        <v>189</v>
      </c>
      <c r="M3" s="41" t="s">
        <v>190</v>
      </c>
    </row>
    <row r="4" s="9" customFormat="true" ht="21" hidden="false" customHeight="true" outlineLevel="0" collapsed="false">
      <c r="A4" s="37"/>
      <c r="B4" s="38"/>
      <c r="C4" s="38"/>
      <c r="D4" s="38"/>
      <c r="E4" s="38"/>
      <c r="F4" s="38"/>
      <c r="G4" s="42" t="n">
        <v>1</v>
      </c>
      <c r="H4" s="42" t="n">
        <v>2</v>
      </c>
      <c r="I4" s="42" t="n">
        <v>3</v>
      </c>
      <c r="J4" s="42" t="s">
        <v>265</v>
      </c>
      <c r="K4" s="39"/>
      <c r="L4" s="39"/>
      <c r="M4" s="41"/>
    </row>
    <row r="5" customFormat="false" ht="15.6" hidden="false" customHeight="false" outlineLevel="0" collapsed="false">
      <c r="A5" s="11" t="s">
        <v>387</v>
      </c>
      <c r="B5" s="11"/>
      <c r="C5" s="11"/>
      <c r="D5" s="11"/>
      <c r="E5" s="11"/>
      <c r="F5" s="11"/>
      <c r="G5" s="11"/>
      <c r="H5" s="11"/>
      <c r="I5" s="11"/>
      <c r="J5" s="11"/>
    </row>
    <row r="6" customFormat="false" ht="13.2" hidden="false" customHeight="false" outlineLevel="0" collapsed="false">
      <c r="A6" s="14" t="s">
        <v>388</v>
      </c>
      <c r="B6" s="14" t="s">
        <v>389</v>
      </c>
      <c r="C6" s="14" t="s">
        <v>390</v>
      </c>
      <c r="D6" s="14" t="str">
        <f aca="false">"1,1076"</f>
        <v>1,1076</v>
      </c>
      <c r="E6" s="14" t="s">
        <v>14</v>
      </c>
      <c r="F6" s="14" t="s">
        <v>27</v>
      </c>
      <c r="G6" s="13" t="s">
        <v>391</v>
      </c>
      <c r="H6" s="13" t="s">
        <v>392</v>
      </c>
      <c r="I6" s="13" t="s">
        <v>393</v>
      </c>
      <c r="J6" s="22"/>
      <c r="K6" s="12" t="str">
        <f aca="false">"132,5"</f>
        <v>132,5</v>
      </c>
      <c r="L6" s="43" t="str">
        <f aca="false">"146,7570"</f>
        <v>146,7570</v>
      </c>
      <c r="M6" s="14" t="s">
        <v>22</v>
      </c>
    </row>
    <row r="8" customFormat="false" ht="15.6" hidden="false" customHeight="false" outlineLevel="0" collapsed="false">
      <c r="A8" s="15" t="s">
        <v>193</v>
      </c>
      <c r="B8" s="15"/>
      <c r="C8" s="15"/>
      <c r="D8" s="15"/>
      <c r="E8" s="15"/>
      <c r="F8" s="15"/>
      <c r="G8" s="15"/>
      <c r="H8" s="15"/>
      <c r="I8" s="15"/>
      <c r="J8" s="15"/>
    </row>
    <row r="9" customFormat="false" ht="13.2" hidden="false" customHeight="false" outlineLevel="0" collapsed="false">
      <c r="A9" s="14" t="s">
        <v>394</v>
      </c>
      <c r="B9" s="14" t="s">
        <v>395</v>
      </c>
      <c r="C9" s="14" t="s">
        <v>396</v>
      </c>
      <c r="D9" s="14" t="str">
        <f aca="false">"1,0484"</f>
        <v>1,0484</v>
      </c>
      <c r="E9" s="14" t="s">
        <v>14</v>
      </c>
      <c r="F9" s="14" t="s">
        <v>301</v>
      </c>
      <c r="G9" s="13" t="s">
        <v>115</v>
      </c>
      <c r="H9" s="13" t="s">
        <v>123</v>
      </c>
      <c r="I9" s="13" t="s">
        <v>397</v>
      </c>
      <c r="J9" s="22"/>
      <c r="K9" s="12" t="str">
        <f aca="false">"147,5"</f>
        <v>147,5</v>
      </c>
      <c r="L9" s="43" t="str">
        <f aca="false">"156,1854"</f>
        <v>156,1854</v>
      </c>
      <c r="M9" s="14" t="s">
        <v>22</v>
      </c>
    </row>
    <row r="11" customFormat="false" ht="15.6" hidden="false" customHeight="false" outlineLevel="0" collapsed="false">
      <c r="A11" s="15" t="s">
        <v>266</v>
      </c>
      <c r="B11" s="15"/>
      <c r="C11" s="15"/>
      <c r="D11" s="15"/>
      <c r="E11" s="15"/>
      <c r="F11" s="15"/>
      <c r="G11" s="15"/>
      <c r="H11" s="15"/>
      <c r="I11" s="15"/>
      <c r="J11" s="15"/>
    </row>
    <row r="12" customFormat="false" ht="13.2" hidden="false" customHeight="false" outlineLevel="0" collapsed="false">
      <c r="A12" s="18" t="s">
        <v>398</v>
      </c>
      <c r="B12" s="18" t="s">
        <v>399</v>
      </c>
      <c r="C12" s="18" t="s">
        <v>400</v>
      </c>
      <c r="D12" s="18" t="str">
        <f aca="false">"0,9039"</f>
        <v>0,9039</v>
      </c>
      <c r="E12" s="18" t="s">
        <v>14</v>
      </c>
      <c r="F12" s="18" t="s">
        <v>39</v>
      </c>
      <c r="G12" s="17" t="s">
        <v>401</v>
      </c>
      <c r="H12" s="17" t="s">
        <v>391</v>
      </c>
      <c r="I12" s="17" t="s">
        <v>402</v>
      </c>
      <c r="J12" s="32"/>
      <c r="K12" s="16" t="str">
        <f aca="false">"125,0"</f>
        <v>125,0</v>
      </c>
      <c r="L12" s="44" t="str">
        <f aca="false">"112,9813"</f>
        <v>112,9813</v>
      </c>
      <c r="M12" s="18" t="s">
        <v>22</v>
      </c>
    </row>
    <row r="13" customFormat="false" ht="13.2" hidden="false" customHeight="false" outlineLevel="0" collapsed="false">
      <c r="A13" s="45" t="s">
        <v>403</v>
      </c>
      <c r="B13" s="45" t="s">
        <v>404</v>
      </c>
      <c r="C13" s="45" t="s">
        <v>405</v>
      </c>
      <c r="D13" s="45" t="str">
        <f aca="false">"0,9523"</f>
        <v>0,9523</v>
      </c>
      <c r="E13" s="45" t="s">
        <v>14</v>
      </c>
      <c r="F13" s="45" t="s">
        <v>39</v>
      </c>
      <c r="G13" s="46" t="s">
        <v>107</v>
      </c>
      <c r="H13" s="46" t="s">
        <v>401</v>
      </c>
      <c r="I13" s="55" t="s">
        <v>391</v>
      </c>
      <c r="J13" s="55"/>
      <c r="K13" s="47" t="str">
        <f aca="false">"117,5"</f>
        <v>117,5</v>
      </c>
      <c r="L13" s="48" t="str">
        <f aca="false">"111,8894"</f>
        <v>111,8894</v>
      </c>
      <c r="M13" s="45" t="s">
        <v>22</v>
      </c>
    </row>
    <row r="14" customFormat="false" ht="13.2" hidden="false" customHeight="false" outlineLevel="0" collapsed="false">
      <c r="A14" s="45" t="s">
        <v>406</v>
      </c>
      <c r="B14" s="45" t="s">
        <v>407</v>
      </c>
      <c r="C14" s="45" t="s">
        <v>408</v>
      </c>
      <c r="D14" s="45" t="str">
        <f aca="false">"0,9123"</f>
        <v>0,9123</v>
      </c>
      <c r="E14" s="45" t="s">
        <v>14</v>
      </c>
      <c r="F14" s="45" t="s">
        <v>409</v>
      </c>
      <c r="G14" s="46" t="s">
        <v>410</v>
      </c>
      <c r="H14" s="55" t="s">
        <v>402</v>
      </c>
      <c r="I14" s="55"/>
      <c r="J14" s="55"/>
      <c r="K14" s="47" t="str">
        <f aca="false">"115,0"</f>
        <v>115,0</v>
      </c>
      <c r="L14" s="48" t="str">
        <f aca="false">"104,9202"</f>
        <v>104,9202</v>
      </c>
      <c r="M14" s="45" t="s">
        <v>22</v>
      </c>
    </row>
    <row r="15" customFormat="false" ht="13.2" hidden="false" customHeight="false" outlineLevel="0" collapsed="false">
      <c r="A15" s="21" t="s">
        <v>411</v>
      </c>
      <c r="B15" s="21" t="s">
        <v>412</v>
      </c>
      <c r="C15" s="21" t="s">
        <v>413</v>
      </c>
      <c r="D15" s="21" t="str">
        <f aca="false">"0,9392"</f>
        <v>0,9392</v>
      </c>
      <c r="E15" s="21" t="s">
        <v>14</v>
      </c>
      <c r="F15" s="21" t="s">
        <v>39</v>
      </c>
      <c r="G15" s="20" t="s">
        <v>108</v>
      </c>
      <c r="H15" s="20" t="s">
        <v>402</v>
      </c>
      <c r="I15" s="31" t="s">
        <v>109</v>
      </c>
      <c r="J15" s="31"/>
      <c r="K15" s="19" t="str">
        <f aca="false">"125,0"</f>
        <v>125,0</v>
      </c>
      <c r="L15" s="49" t="str">
        <f aca="false">"127,0268"</f>
        <v>127,0268</v>
      </c>
      <c r="M15" s="21" t="s">
        <v>22</v>
      </c>
    </row>
    <row r="17" customFormat="false" ht="15.6" hidden="false" customHeight="false" outlineLevel="0" collapsed="false">
      <c r="A17" s="15" t="s">
        <v>199</v>
      </c>
      <c r="B17" s="15"/>
      <c r="C17" s="15"/>
      <c r="D17" s="15"/>
      <c r="E17" s="15"/>
      <c r="F17" s="15"/>
      <c r="G17" s="15"/>
      <c r="H17" s="15"/>
      <c r="I17" s="15"/>
      <c r="J17" s="15"/>
    </row>
    <row r="18" customFormat="false" ht="13.2" hidden="false" customHeight="false" outlineLevel="0" collapsed="false">
      <c r="A18" s="14" t="s">
        <v>414</v>
      </c>
      <c r="B18" s="14" t="s">
        <v>205</v>
      </c>
      <c r="C18" s="14" t="s">
        <v>206</v>
      </c>
      <c r="D18" s="14" t="str">
        <f aca="false">"0,6885"</f>
        <v>0,6885</v>
      </c>
      <c r="E18" s="14" t="s">
        <v>14</v>
      </c>
      <c r="F18" s="14" t="s">
        <v>207</v>
      </c>
      <c r="G18" s="13" t="s">
        <v>415</v>
      </c>
      <c r="H18" s="13" t="s">
        <v>416</v>
      </c>
      <c r="I18" s="22"/>
      <c r="J18" s="22"/>
      <c r="K18" s="12" t="str">
        <f aca="false">"177,5"</f>
        <v>177,5</v>
      </c>
      <c r="L18" s="43" t="str">
        <f aca="false">"122,2176"</f>
        <v>122,2176</v>
      </c>
      <c r="M18" s="14" t="s">
        <v>22</v>
      </c>
    </row>
    <row r="20" customFormat="false" ht="15.6" hidden="false" customHeight="false" outlineLevel="0" collapsed="false">
      <c r="A20" s="15" t="s">
        <v>213</v>
      </c>
      <c r="B20" s="15"/>
      <c r="C20" s="15"/>
      <c r="D20" s="15"/>
      <c r="E20" s="15"/>
      <c r="F20" s="15"/>
      <c r="G20" s="15"/>
      <c r="H20" s="15"/>
      <c r="I20" s="15"/>
      <c r="J20" s="15"/>
    </row>
    <row r="21" customFormat="false" ht="13.2" hidden="false" customHeight="false" outlineLevel="0" collapsed="false">
      <c r="A21" s="18" t="s">
        <v>417</v>
      </c>
      <c r="B21" s="18" t="s">
        <v>418</v>
      </c>
      <c r="C21" s="18" t="s">
        <v>419</v>
      </c>
      <c r="D21" s="18" t="str">
        <f aca="false">"0,6618"</f>
        <v>0,6618</v>
      </c>
      <c r="E21" s="18" t="s">
        <v>14</v>
      </c>
      <c r="F21" s="18" t="s">
        <v>420</v>
      </c>
      <c r="G21" s="17" t="s">
        <v>117</v>
      </c>
      <c r="H21" s="32" t="s">
        <v>421</v>
      </c>
      <c r="I21" s="32" t="s">
        <v>421</v>
      </c>
      <c r="J21" s="32"/>
      <c r="K21" s="16" t="str">
        <f aca="false">"160,0"</f>
        <v>160,0</v>
      </c>
      <c r="L21" s="44" t="str">
        <f aca="false">"105,8800"</f>
        <v>105,8800</v>
      </c>
      <c r="M21" s="18" t="s">
        <v>22</v>
      </c>
    </row>
    <row r="22" customFormat="false" ht="13.2" hidden="false" customHeight="false" outlineLevel="0" collapsed="false">
      <c r="A22" s="45" t="s">
        <v>422</v>
      </c>
      <c r="B22" s="45" t="s">
        <v>423</v>
      </c>
      <c r="C22" s="45" t="s">
        <v>424</v>
      </c>
      <c r="D22" s="45" t="str">
        <f aca="false">"0,6595"</f>
        <v>0,6595</v>
      </c>
      <c r="E22" s="45" t="s">
        <v>14</v>
      </c>
      <c r="F22" s="45" t="s">
        <v>39</v>
      </c>
      <c r="G22" s="46" t="s">
        <v>425</v>
      </c>
      <c r="H22" s="46" t="s">
        <v>426</v>
      </c>
      <c r="I22" s="46" t="s">
        <v>427</v>
      </c>
      <c r="J22" s="55"/>
      <c r="K22" s="47" t="str">
        <f aca="false">"190,0"</f>
        <v>190,0</v>
      </c>
      <c r="L22" s="48" t="str">
        <f aca="false">"125,3050"</f>
        <v>125,3050</v>
      </c>
      <c r="M22" s="45" t="s">
        <v>22</v>
      </c>
    </row>
    <row r="23" customFormat="false" ht="13.2" hidden="false" customHeight="false" outlineLevel="0" collapsed="false">
      <c r="A23" s="21" t="s">
        <v>428</v>
      </c>
      <c r="B23" s="21" t="s">
        <v>429</v>
      </c>
      <c r="C23" s="21" t="s">
        <v>430</v>
      </c>
      <c r="D23" s="21" t="str">
        <f aca="false">"0,6535"</f>
        <v>0,6535</v>
      </c>
      <c r="E23" s="21" t="s">
        <v>431</v>
      </c>
      <c r="F23" s="21" t="s">
        <v>432</v>
      </c>
      <c r="G23" s="31" t="s">
        <v>425</v>
      </c>
      <c r="H23" s="31" t="s">
        <v>425</v>
      </c>
      <c r="I23" s="20" t="s">
        <v>425</v>
      </c>
      <c r="J23" s="31"/>
      <c r="K23" s="19" t="str">
        <f aca="false">"175,0"</f>
        <v>175,0</v>
      </c>
      <c r="L23" s="49" t="str">
        <f aca="false">"114,3538"</f>
        <v>114,3538</v>
      </c>
      <c r="M23" s="21" t="s">
        <v>22</v>
      </c>
    </row>
    <row r="25" customFormat="false" ht="15.6" hidden="false" customHeight="false" outlineLevel="0" collapsed="false">
      <c r="A25" s="15" t="s">
        <v>35</v>
      </c>
      <c r="B25" s="15"/>
      <c r="C25" s="15"/>
      <c r="D25" s="15"/>
      <c r="E25" s="15"/>
      <c r="F25" s="15"/>
      <c r="G25" s="15"/>
      <c r="H25" s="15"/>
      <c r="I25" s="15"/>
      <c r="J25" s="15"/>
    </row>
    <row r="26" customFormat="false" ht="13.2" hidden="false" customHeight="false" outlineLevel="0" collapsed="false">
      <c r="A26" s="18" t="s">
        <v>433</v>
      </c>
      <c r="B26" s="18" t="s">
        <v>434</v>
      </c>
      <c r="C26" s="18" t="s">
        <v>435</v>
      </c>
      <c r="D26" s="18" t="str">
        <f aca="false">"0,6188"</f>
        <v>0,6188</v>
      </c>
      <c r="E26" s="18" t="s">
        <v>14</v>
      </c>
      <c r="F26" s="18" t="s">
        <v>436</v>
      </c>
      <c r="G26" s="17" t="s">
        <v>437</v>
      </c>
      <c r="H26" s="17" t="s">
        <v>438</v>
      </c>
      <c r="I26" s="17" t="s">
        <v>131</v>
      </c>
      <c r="J26" s="32"/>
      <c r="K26" s="16" t="str">
        <f aca="false">"222,5"</f>
        <v>222,5</v>
      </c>
      <c r="L26" s="44" t="str">
        <f aca="false">"137,6941"</f>
        <v>137,6941</v>
      </c>
      <c r="M26" s="18" t="s">
        <v>22</v>
      </c>
    </row>
    <row r="27" customFormat="false" ht="13.2" hidden="false" customHeight="false" outlineLevel="0" collapsed="false">
      <c r="A27" s="21" t="s">
        <v>439</v>
      </c>
      <c r="B27" s="21" t="s">
        <v>440</v>
      </c>
      <c r="C27" s="21" t="s">
        <v>441</v>
      </c>
      <c r="D27" s="21" t="str">
        <f aca="false">"0,6130"</f>
        <v>0,6130</v>
      </c>
      <c r="E27" s="21" t="s">
        <v>14</v>
      </c>
      <c r="F27" s="21" t="s">
        <v>39</v>
      </c>
      <c r="G27" s="31" t="s">
        <v>437</v>
      </c>
      <c r="H27" s="31" t="s">
        <v>131</v>
      </c>
      <c r="I27" s="31" t="s">
        <v>131</v>
      </c>
      <c r="J27" s="31"/>
      <c r="K27" s="19" t="str">
        <f aca="false">"0.00"</f>
        <v>0.00</v>
      </c>
      <c r="L27" s="49" t="str">
        <f aca="false">"0,0000"</f>
        <v>0,0000</v>
      </c>
      <c r="M27" s="21" t="s">
        <v>22</v>
      </c>
    </row>
    <row r="29" customFormat="false" ht="15.6" hidden="false" customHeight="false" outlineLevel="0" collapsed="false">
      <c r="A29" s="15" t="s">
        <v>44</v>
      </c>
      <c r="B29" s="15"/>
      <c r="C29" s="15"/>
      <c r="D29" s="15"/>
      <c r="E29" s="15"/>
      <c r="F29" s="15"/>
      <c r="G29" s="15"/>
      <c r="H29" s="15"/>
      <c r="I29" s="15"/>
      <c r="J29" s="15"/>
    </row>
    <row r="30" customFormat="false" ht="13.2" hidden="false" customHeight="false" outlineLevel="0" collapsed="false">
      <c r="A30" s="18" t="s">
        <v>442</v>
      </c>
      <c r="B30" s="18" t="s">
        <v>443</v>
      </c>
      <c r="C30" s="18" t="s">
        <v>444</v>
      </c>
      <c r="D30" s="18" t="str">
        <f aca="false">"0,5940"</f>
        <v>0,5940</v>
      </c>
      <c r="E30" s="18" t="s">
        <v>14</v>
      </c>
      <c r="F30" s="18" t="s">
        <v>445</v>
      </c>
      <c r="G30" s="17" t="s">
        <v>446</v>
      </c>
      <c r="H30" s="17" t="s">
        <v>447</v>
      </c>
      <c r="I30" s="32" t="s">
        <v>448</v>
      </c>
      <c r="J30" s="32"/>
      <c r="K30" s="16" t="str">
        <f aca="false">"245,0"</f>
        <v>245,0</v>
      </c>
      <c r="L30" s="44" t="str">
        <f aca="false">"145,5300"</f>
        <v>145,5300</v>
      </c>
      <c r="M30" s="18" t="s">
        <v>22</v>
      </c>
    </row>
    <row r="31" customFormat="false" ht="13.2" hidden="false" customHeight="false" outlineLevel="0" collapsed="false">
      <c r="A31" s="45" t="s">
        <v>449</v>
      </c>
      <c r="B31" s="45" t="s">
        <v>450</v>
      </c>
      <c r="C31" s="45" t="s">
        <v>451</v>
      </c>
      <c r="D31" s="45" t="str">
        <f aca="false">"0,5929"</f>
        <v>0,5929</v>
      </c>
      <c r="E31" s="45" t="s">
        <v>14</v>
      </c>
      <c r="F31" s="45" t="s">
        <v>39</v>
      </c>
      <c r="G31" s="46" t="s">
        <v>427</v>
      </c>
      <c r="H31" s="55" t="s">
        <v>452</v>
      </c>
      <c r="I31" s="46" t="s">
        <v>453</v>
      </c>
      <c r="J31" s="55"/>
      <c r="K31" s="47" t="str">
        <f aca="false">"205,0"</f>
        <v>205,0</v>
      </c>
      <c r="L31" s="48" t="str">
        <f aca="false">"121,5343"</f>
        <v>121,5343</v>
      </c>
      <c r="M31" s="45" t="s">
        <v>22</v>
      </c>
    </row>
    <row r="32" customFormat="false" ht="13.2" hidden="false" customHeight="false" outlineLevel="0" collapsed="false">
      <c r="A32" s="45" t="s">
        <v>454</v>
      </c>
      <c r="B32" s="45" t="s">
        <v>455</v>
      </c>
      <c r="C32" s="45" t="s">
        <v>456</v>
      </c>
      <c r="D32" s="45" t="str">
        <f aca="false">"0,5902"</f>
        <v>0,5902</v>
      </c>
      <c r="E32" s="45" t="s">
        <v>14</v>
      </c>
      <c r="F32" s="45" t="s">
        <v>457</v>
      </c>
      <c r="G32" s="46" t="s">
        <v>427</v>
      </c>
      <c r="H32" s="46" t="s">
        <v>437</v>
      </c>
      <c r="I32" s="55" t="s">
        <v>453</v>
      </c>
      <c r="J32" s="55"/>
      <c r="K32" s="47" t="str">
        <f aca="false">"200,0"</f>
        <v>200,0</v>
      </c>
      <c r="L32" s="48" t="str">
        <f aca="false">"118,0400"</f>
        <v>118,0400</v>
      </c>
      <c r="M32" s="45" t="s">
        <v>22</v>
      </c>
    </row>
    <row r="33" customFormat="false" ht="13.2" hidden="false" customHeight="false" outlineLevel="0" collapsed="false">
      <c r="A33" s="21" t="s">
        <v>458</v>
      </c>
      <c r="B33" s="21" t="s">
        <v>459</v>
      </c>
      <c r="C33" s="21" t="s">
        <v>460</v>
      </c>
      <c r="D33" s="21" t="str">
        <f aca="false">"0,5885"</f>
        <v>0,5885</v>
      </c>
      <c r="E33" s="21" t="s">
        <v>14</v>
      </c>
      <c r="F33" s="21" t="s">
        <v>39</v>
      </c>
      <c r="G33" s="31" t="s">
        <v>421</v>
      </c>
      <c r="H33" s="20" t="s">
        <v>416</v>
      </c>
      <c r="I33" s="20" t="s">
        <v>426</v>
      </c>
      <c r="J33" s="31"/>
      <c r="K33" s="19" t="str">
        <f aca="false">"185,0"</f>
        <v>185,0</v>
      </c>
      <c r="L33" s="49" t="str">
        <f aca="false">"108,8817"</f>
        <v>108,8817</v>
      </c>
      <c r="M33" s="21" t="s">
        <v>22</v>
      </c>
    </row>
    <row r="35" customFormat="false" ht="15.6" hidden="false" customHeight="false" outlineLevel="0" collapsed="false">
      <c r="A35" s="15" t="s">
        <v>126</v>
      </c>
      <c r="B35" s="15"/>
      <c r="C35" s="15"/>
      <c r="D35" s="15"/>
      <c r="E35" s="15"/>
      <c r="F35" s="15"/>
      <c r="G35" s="15"/>
      <c r="H35" s="15"/>
      <c r="I35" s="15"/>
      <c r="J35" s="15"/>
    </row>
    <row r="36" customFormat="false" ht="13.2" hidden="false" customHeight="false" outlineLevel="0" collapsed="false">
      <c r="A36" s="14" t="s">
        <v>461</v>
      </c>
      <c r="B36" s="14" t="s">
        <v>462</v>
      </c>
      <c r="C36" s="14" t="s">
        <v>463</v>
      </c>
      <c r="D36" s="14" t="str">
        <f aca="false">"0,5482"</f>
        <v>0,5482</v>
      </c>
      <c r="E36" s="14" t="s">
        <v>14</v>
      </c>
      <c r="F36" s="14" t="s">
        <v>39</v>
      </c>
      <c r="G36" s="22" t="s">
        <v>464</v>
      </c>
      <c r="H36" s="13" t="s">
        <v>465</v>
      </c>
      <c r="I36" s="13" t="s">
        <v>466</v>
      </c>
      <c r="J36" s="22"/>
      <c r="K36" s="12" t="str">
        <f aca="false">"285,0"</f>
        <v>285,0</v>
      </c>
      <c r="L36" s="43" t="str">
        <f aca="false">"156,2370"</f>
        <v>156,2370</v>
      </c>
      <c r="M36" s="14" t="s">
        <v>22</v>
      </c>
    </row>
    <row r="38" customFormat="false" ht="15" hidden="false" customHeight="false" outlineLevel="0" collapsed="false">
      <c r="E38" s="23" t="s">
        <v>53</v>
      </c>
    </row>
    <row r="39" customFormat="false" ht="15" hidden="false" customHeight="false" outlineLevel="0" collapsed="false">
      <c r="E39" s="23" t="s">
        <v>54</v>
      </c>
    </row>
    <row r="40" customFormat="false" ht="15" hidden="false" customHeight="false" outlineLevel="0" collapsed="false">
      <c r="E40" s="23" t="s">
        <v>55</v>
      </c>
    </row>
    <row r="41" customFormat="false" ht="15" hidden="false" customHeight="false" outlineLevel="0" collapsed="false">
      <c r="E41" s="23" t="s">
        <v>56</v>
      </c>
    </row>
    <row r="42" customFormat="false" ht="15" hidden="false" customHeight="false" outlineLevel="0" collapsed="false">
      <c r="E42" s="23" t="s">
        <v>56</v>
      </c>
    </row>
    <row r="43" customFormat="false" ht="15" hidden="false" customHeight="false" outlineLevel="0" collapsed="false">
      <c r="E43" s="23" t="s">
        <v>57</v>
      </c>
    </row>
    <row r="44" customFormat="false" ht="15" hidden="false" customHeight="false" outlineLevel="0" collapsed="false">
      <c r="E44" s="23"/>
    </row>
    <row r="46" customFormat="false" ht="17.4" hidden="false" customHeight="false" outlineLevel="0" collapsed="false">
      <c r="A46" s="50" t="s">
        <v>58</v>
      </c>
      <c r="B46" s="50"/>
    </row>
    <row r="47" customFormat="false" ht="15.6" hidden="false" customHeight="false" outlineLevel="0" collapsed="false">
      <c r="A47" s="51" t="s">
        <v>59</v>
      </c>
      <c r="B47" s="51"/>
    </row>
    <row r="48" customFormat="false" ht="14.4" hidden="false" customHeight="false" outlineLevel="0" collapsed="false">
      <c r="A48" s="52"/>
      <c r="B48" s="53" t="s">
        <v>467</v>
      </c>
    </row>
    <row r="49" customFormat="false" ht="13.8" hidden="false" customHeight="false" outlineLevel="0" collapsed="false">
      <c r="A49" s="29" t="s">
        <v>61</v>
      </c>
      <c r="B49" s="29" t="s">
        <v>62</v>
      </c>
      <c r="C49" s="29" t="s">
        <v>63</v>
      </c>
      <c r="D49" s="29" t="s">
        <v>64</v>
      </c>
      <c r="E49" s="29" t="s">
        <v>65</v>
      </c>
    </row>
    <row r="50" customFormat="false" ht="13.2" hidden="false" customHeight="false" outlineLevel="0" collapsed="false">
      <c r="A50" s="54" t="s">
        <v>468</v>
      </c>
      <c r="B50" s="33" t="s">
        <v>341</v>
      </c>
      <c r="C50" s="33" t="s">
        <v>337</v>
      </c>
      <c r="D50" s="33" t="s">
        <v>402</v>
      </c>
      <c r="E50" s="1" t="s">
        <v>469</v>
      </c>
    </row>
    <row r="52" customFormat="false" ht="14.4" hidden="false" customHeight="false" outlineLevel="0" collapsed="false">
      <c r="A52" s="52"/>
      <c r="B52" s="53" t="s">
        <v>60</v>
      </c>
    </row>
    <row r="53" customFormat="false" ht="13.8" hidden="false" customHeight="false" outlineLevel="0" collapsed="false">
      <c r="A53" s="29" t="s">
        <v>61</v>
      </c>
      <c r="B53" s="29" t="s">
        <v>62</v>
      </c>
      <c r="C53" s="29" t="s">
        <v>63</v>
      </c>
      <c r="D53" s="29" t="s">
        <v>64</v>
      </c>
      <c r="E53" s="29" t="s">
        <v>65</v>
      </c>
    </row>
    <row r="54" customFormat="false" ht="13.2" hidden="false" customHeight="false" outlineLevel="0" collapsed="false">
      <c r="A54" s="54" t="s">
        <v>470</v>
      </c>
      <c r="B54" s="33" t="s">
        <v>60</v>
      </c>
      <c r="C54" s="33" t="s">
        <v>471</v>
      </c>
      <c r="D54" s="33" t="s">
        <v>393</v>
      </c>
      <c r="E54" s="1" t="s">
        <v>472</v>
      </c>
    </row>
    <row r="55" customFormat="false" ht="13.2" hidden="false" customHeight="false" outlineLevel="0" collapsed="false">
      <c r="A55" s="54" t="s">
        <v>473</v>
      </c>
      <c r="B55" s="33" t="s">
        <v>60</v>
      </c>
      <c r="C55" s="33" t="s">
        <v>337</v>
      </c>
      <c r="D55" s="33" t="s">
        <v>401</v>
      </c>
      <c r="E55" s="1" t="s">
        <v>474</v>
      </c>
    </row>
    <row r="56" customFormat="false" ht="13.2" hidden="false" customHeight="false" outlineLevel="0" collapsed="false">
      <c r="A56" s="54" t="s">
        <v>475</v>
      </c>
      <c r="B56" s="33" t="s">
        <v>60</v>
      </c>
      <c r="C56" s="33" t="s">
        <v>337</v>
      </c>
      <c r="D56" s="33" t="s">
        <v>410</v>
      </c>
      <c r="E56" s="1" t="s">
        <v>476</v>
      </c>
    </row>
    <row r="58" customFormat="false" ht="14.4" hidden="false" customHeight="false" outlineLevel="0" collapsed="false">
      <c r="A58" s="52"/>
      <c r="B58" s="53" t="s">
        <v>250</v>
      </c>
    </row>
    <row r="59" customFormat="false" ht="13.8" hidden="false" customHeight="false" outlineLevel="0" collapsed="false">
      <c r="A59" s="29" t="s">
        <v>61</v>
      </c>
      <c r="B59" s="29" t="s">
        <v>62</v>
      </c>
      <c r="C59" s="29" t="s">
        <v>63</v>
      </c>
      <c r="D59" s="29" t="s">
        <v>64</v>
      </c>
      <c r="E59" s="29" t="s">
        <v>65</v>
      </c>
    </row>
    <row r="60" customFormat="false" ht="13.2" hidden="false" customHeight="false" outlineLevel="0" collapsed="false">
      <c r="A60" s="54" t="s">
        <v>477</v>
      </c>
      <c r="B60" s="33" t="s">
        <v>375</v>
      </c>
      <c r="C60" s="33" t="s">
        <v>233</v>
      </c>
      <c r="D60" s="33" t="s">
        <v>397</v>
      </c>
      <c r="E60" s="1" t="s">
        <v>478</v>
      </c>
    </row>
    <row r="61" customFormat="false" ht="13.2" hidden="false" customHeight="false" outlineLevel="0" collapsed="false">
      <c r="A61" s="54" t="s">
        <v>479</v>
      </c>
      <c r="B61" s="33" t="s">
        <v>381</v>
      </c>
      <c r="C61" s="33" t="s">
        <v>337</v>
      </c>
      <c r="D61" s="33" t="s">
        <v>402</v>
      </c>
      <c r="E61" s="1" t="s">
        <v>480</v>
      </c>
    </row>
    <row r="64" customFormat="false" ht="15.6" hidden="false" customHeight="false" outlineLevel="0" collapsed="false">
      <c r="A64" s="51" t="s">
        <v>69</v>
      </c>
      <c r="B64" s="51"/>
    </row>
    <row r="65" customFormat="false" ht="14.4" hidden="false" customHeight="false" outlineLevel="0" collapsed="false">
      <c r="A65" s="52"/>
      <c r="B65" s="53" t="s">
        <v>70</v>
      </c>
    </row>
    <row r="66" customFormat="false" ht="13.8" hidden="false" customHeight="false" outlineLevel="0" collapsed="false">
      <c r="A66" s="29" t="s">
        <v>61</v>
      </c>
      <c r="B66" s="29" t="s">
        <v>62</v>
      </c>
      <c r="C66" s="29" t="s">
        <v>63</v>
      </c>
      <c r="D66" s="29" t="s">
        <v>64</v>
      </c>
      <c r="E66" s="29" t="s">
        <v>65</v>
      </c>
    </row>
    <row r="67" customFormat="false" ht="13.2" hidden="false" customHeight="false" outlineLevel="0" collapsed="false">
      <c r="A67" s="54" t="s">
        <v>481</v>
      </c>
      <c r="B67" s="33" t="s">
        <v>336</v>
      </c>
      <c r="C67" s="33" t="s">
        <v>244</v>
      </c>
      <c r="D67" s="33" t="s">
        <v>117</v>
      </c>
      <c r="E67" s="1" t="s">
        <v>482</v>
      </c>
    </row>
    <row r="69" customFormat="false" ht="14.4" hidden="false" customHeight="false" outlineLevel="0" collapsed="false">
      <c r="A69" s="52"/>
      <c r="B69" s="53" t="s">
        <v>60</v>
      </c>
    </row>
    <row r="70" customFormat="false" ht="13.8" hidden="false" customHeight="false" outlineLevel="0" collapsed="false">
      <c r="A70" s="29" t="s">
        <v>61</v>
      </c>
      <c r="B70" s="29" t="s">
        <v>62</v>
      </c>
      <c r="C70" s="29" t="s">
        <v>63</v>
      </c>
      <c r="D70" s="29" t="s">
        <v>64</v>
      </c>
      <c r="E70" s="29" t="s">
        <v>65</v>
      </c>
    </row>
    <row r="71" customFormat="false" ht="13.2" hidden="false" customHeight="false" outlineLevel="0" collapsed="false">
      <c r="A71" s="54" t="s">
        <v>483</v>
      </c>
      <c r="B71" s="33" t="s">
        <v>60</v>
      </c>
      <c r="C71" s="33" t="s">
        <v>142</v>
      </c>
      <c r="D71" s="33" t="s">
        <v>466</v>
      </c>
      <c r="E71" s="1" t="s">
        <v>484</v>
      </c>
    </row>
    <row r="72" customFormat="false" ht="13.2" hidden="false" customHeight="false" outlineLevel="0" collapsed="false">
      <c r="A72" s="54" t="s">
        <v>485</v>
      </c>
      <c r="B72" s="33" t="s">
        <v>60</v>
      </c>
      <c r="C72" s="33" t="s">
        <v>72</v>
      </c>
      <c r="D72" s="33" t="s">
        <v>447</v>
      </c>
      <c r="E72" s="1" t="s">
        <v>486</v>
      </c>
    </row>
    <row r="73" customFormat="false" ht="13.2" hidden="false" customHeight="false" outlineLevel="0" collapsed="false">
      <c r="A73" s="54" t="s">
        <v>487</v>
      </c>
      <c r="B73" s="33" t="s">
        <v>60</v>
      </c>
      <c r="C73" s="33" t="s">
        <v>78</v>
      </c>
      <c r="D73" s="33" t="s">
        <v>131</v>
      </c>
      <c r="E73" s="1" t="s">
        <v>488</v>
      </c>
    </row>
    <row r="74" customFormat="false" ht="13.2" hidden="false" customHeight="false" outlineLevel="0" collapsed="false">
      <c r="A74" s="54" t="s">
        <v>489</v>
      </c>
      <c r="B74" s="33" t="s">
        <v>60</v>
      </c>
      <c r="C74" s="33" t="s">
        <v>244</v>
      </c>
      <c r="D74" s="33" t="s">
        <v>427</v>
      </c>
      <c r="E74" s="1" t="s">
        <v>490</v>
      </c>
    </row>
    <row r="75" customFormat="false" ht="13.2" hidden="false" customHeight="false" outlineLevel="0" collapsed="false">
      <c r="A75" s="54" t="s">
        <v>240</v>
      </c>
      <c r="B75" s="33" t="s">
        <v>60</v>
      </c>
      <c r="C75" s="33" t="s">
        <v>237</v>
      </c>
      <c r="D75" s="33" t="s">
        <v>416</v>
      </c>
      <c r="E75" s="1" t="s">
        <v>491</v>
      </c>
    </row>
    <row r="76" customFormat="false" ht="13.2" hidden="false" customHeight="false" outlineLevel="0" collapsed="false">
      <c r="A76" s="54" t="s">
        <v>492</v>
      </c>
      <c r="B76" s="33" t="s">
        <v>60</v>
      </c>
      <c r="C76" s="33" t="s">
        <v>72</v>
      </c>
      <c r="D76" s="33" t="s">
        <v>453</v>
      </c>
      <c r="E76" s="1" t="s">
        <v>493</v>
      </c>
    </row>
    <row r="77" customFormat="false" ht="13.2" hidden="false" customHeight="false" outlineLevel="0" collapsed="false">
      <c r="A77" s="54" t="s">
        <v>494</v>
      </c>
      <c r="B77" s="33" t="s">
        <v>60</v>
      </c>
      <c r="C77" s="33" t="s">
        <v>72</v>
      </c>
      <c r="D77" s="33" t="s">
        <v>437</v>
      </c>
      <c r="E77" s="1" t="s">
        <v>495</v>
      </c>
    </row>
    <row r="78" customFormat="false" ht="13.2" hidden="false" customHeight="false" outlineLevel="0" collapsed="false">
      <c r="A78" s="54" t="s">
        <v>496</v>
      </c>
      <c r="B78" s="33" t="s">
        <v>60</v>
      </c>
      <c r="C78" s="33" t="s">
        <v>244</v>
      </c>
      <c r="D78" s="33" t="s">
        <v>425</v>
      </c>
      <c r="E78" s="1" t="s">
        <v>497</v>
      </c>
    </row>
    <row r="79" customFormat="false" ht="13.2" hidden="false" customHeight="false" outlineLevel="0" collapsed="false">
      <c r="A79" s="54" t="s">
        <v>498</v>
      </c>
      <c r="B79" s="33" t="s">
        <v>60</v>
      </c>
      <c r="C79" s="33" t="s">
        <v>72</v>
      </c>
      <c r="D79" s="33" t="s">
        <v>426</v>
      </c>
      <c r="E79" s="1" t="s">
        <v>499</v>
      </c>
    </row>
  </sheetData>
  <mergeCells count="19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J5"/>
    <mergeCell ref="A8:J8"/>
    <mergeCell ref="A11:J11"/>
    <mergeCell ref="A17:J17"/>
    <mergeCell ref="A20:J20"/>
    <mergeCell ref="A25:J25"/>
    <mergeCell ref="A29:J29"/>
    <mergeCell ref="A35:J3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109375" defaultRowHeight="13.2" zeroHeight="false" outlineLevelRow="0" outlineLevelCol="0"/>
  <cols>
    <col collapsed="false" customWidth="true" hidden="false" outlineLevel="0" max="1" min="1" style="33" width="24.67"/>
    <col collapsed="false" customWidth="true" hidden="false" outlineLevel="0" max="2" min="2" style="33" width="25.21"/>
    <col collapsed="false" customWidth="true" hidden="false" outlineLevel="0" max="3" min="3" style="33" width="14.88"/>
    <col collapsed="false" customWidth="true" hidden="false" outlineLevel="0" max="4" min="4" style="33" width="11.89"/>
    <col collapsed="false" customWidth="true" hidden="false" outlineLevel="0" max="5" min="5" style="33" width="21.78"/>
    <col collapsed="false" customWidth="true" hidden="false" outlineLevel="0" max="6" min="6" style="33" width="16.11"/>
    <col collapsed="false" customWidth="true" hidden="false" outlineLevel="0" max="9" min="7" style="34" width="5.55"/>
    <col collapsed="false" customWidth="true" hidden="false" outlineLevel="0" max="10" min="10" style="34" width="4.56"/>
    <col collapsed="false" customWidth="true" hidden="false" outlineLevel="0" max="11" min="11" style="1" width="7.67"/>
    <col collapsed="false" customWidth="true" hidden="false" outlineLevel="0" max="12" min="12" style="35" width="8.56"/>
    <col collapsed="false" customWidth="true" hidden="false" outlineLevel="0" max="13" min="13" style="33" width="8.33"/>
    <col collapsed="false" customWidth="false" hidden="false" outlineLevel="0" max="1024" min="14" style="34" width="9.11"/>
  </cols>
  <sheetData>
    <row r="1" s="35" customFormat="true" ht="28.95" hidden="false" customHeight="true" outlineLevel="0" collapsed="false">
      <c r="A1" s="36" t="s">
        <v>500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="35" customFormat="true" ht="61.95" hidden="false" customHeight="true" outlineLevel="0" collapsed="false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="9" customFormat="true" ht="12.75" hidden="false" customHeight="true" outlineLevel="0" collapsed="false">
      <c r="A3" s="37" t="s">
        <v>1</v>
      </c>
      <c r="B3" s="38" t="s">
        <v>2</v>
      </c>
      <c r="C3" s="38" t="s">
        <v>186</v>
      </c>
      <c r="D3" s="39" t="s">
        <v>4</v>
      </c>
      <c r="E3" s="39" t="s">
        <v>5</v>
      </c>
      <c r="F3" s="39" t="s">
        <v>6</v>
      </c>
      <c r="G3" s="40" t="s">
        <v>386</v>
      </c>
      <c r="H3" s="40"/>
      <c r="I3" s="40"/>
      <c r="J3" s="40"/>
      <c r="K3" s="39" t="s">
        <v>8</v>
      </c>
      <c r="L3" s="39" t="s">
        <v>189</v>
      </c>
      <c r="M3" s="41" t="s">
        <v>190</v>
      </c>
    </row>
    <row r="4" s="9" customFormat="true" ht="21" hidden="false" customHeight="true" outlineLevel="0" collapsed="false">
      <c r="A4" s="37"/>
      <c r="B4" s="38"/>
      <c r="C4" s="38"/>
      <c r="D4" s="38"/>
      <c r="E4" s="38"/>
      <c r="F4" s="38"/>
      <c r="G4" s="42" t="n">
        <v>1</v>
      </c>
      <c r="H4" s="42" t="n">
        <v>2</v>
      </c>
      <c r="I4" s="42" t="n">
        <v>3</v>
      </c>
      <c r="J4" s="42" t="s">
        <v>265</v>
      </c>
      <c r="K4" s="39"/>
      <c r="L4" s="39"/>
      <c r="M4" s="41"/>
    </row>
    <row r="5" customFormat="false" ht="15.6" hidden="false" customHeight="false" outlineLevel="0" collapsed="false">
      <c r="A5" s="11" t="s">
        <v>44</v>
      </c>
      <c r="B5" s="11"/>
      <c r="C5" s="11"/>
      <c r="D5" s="11"/>
      <c r="E5" s="11"/>
      <c r="F5" s="11"/>
      <c r="G5" s="11"/>
      <c r="H5" s="11"/>
      <c r="I5" s="11"/>
      <c r="J5" s="11"/>
    </row>
    <row r="6" customFormat="false" ht="13.2" hidden="false" customHeight="false" outlineLevel="0" collapsed="false">
      <c r="A6" s="14" t="s">
        <v>501</v>
      </c>
      <c r="B6" s="14" t="s">
        <v>502</v>
      </c>
      <c r="C6" s="14" t="s">
        <v>503</v>
      </c>
      <c r="D6" s="14" t="str">
        <f aca="false">"0,5922"</f>
        <v>0,5922</v>
      </c>
      <c r="E6" s="14" t="s">
        <v>14</v>
      </c>
      <c r="F6" s="14" t="s">
        <v>39</v>
      </c>
      <c r="G6" s="13" t="s">
        <v>504</v>
      </c>
      <c r="H6" s="13" t="s">
        <v>505</v>
      </c>
      <c r="I6" s="13" t="s">
        <v>446</v>
      </c>
      <c r="J6" s="22"/>
      <c r="K6" s="12" t="str">
        <f aca="false">"235,0"</f>
        <v>235,0</v>
      </c>
      <c r="L6" s="43" t="str">
        <f aca="false">"139,1787"</f>
        <v>139,1787</v>
      </c>
      <c r="M6" s="14" t="s">
        <v>22</v>
      </c>
    </row>
    <row r="8" customFormat="false" ht="15" hidden="false" customHeight="false" outlineLevel="0" collapsed="false">
      <c r="E8" s="23" t="s">
        <v>53</v>
      </c>
    </row>
    <row r="9" customFormat="false" ht="15" hidden="false" customHeight="false" outlineLevel="0" collapsed="false">
      <c r="E9" s="23" t="s">
        <v>54</v>
      </c>
    </row>
    <row r="10" customFormat="false" ht="15" hidden="false" customHeight="false" outlineLevel="0" collapsed="false">
      <c r="E10" s="23" t="s">
        <v>55</v>
      </c>
    </row>
    <row r="11" customFormat="false" ht="15" hidden="false" customHeight="false" outlineLevel="0" collapsed="false">
      <c r="E11" s="23" t="s">
        <v>56</v>
      </c>
    </row>
    <row r="12" customFormat="false" ht="15" hidden="false" customHeight="false" outlineLevel="0" collapsed="false">
      <c r="E12" s="23" t="s">
        <v>56</v>
      </c>
    </row>
    <row r="13" customFormat="false" ht="15" hidden="false" customHeight="false" outlineLevel="0" collapsed="false">
      <c r="E13" s="23" t="s">
        <v>57</v>
      </c>
    </row>
    <row r="14" customFormat="false" ht="15" hidden="false" customHeight="false" outlineLevel="0" collapsed="false">
      <c r="E14" s="23"/>
    </row>
    <row r="16" customFormat="false" ht="17.4" hidden="false" customHeight="false" outlineLevel="0" collapsed="false">
      <c r="A16" s="50" t="s">
        <v>58</v>
      </c>
      <c r="B16" s="50"/>
    </row>
    <row r="17" customFormat="false" ht="15.6" hidden="false" customHeight="false" outlineLevel="0" collapsed="false">
      <c r="A17" s="51" t="s">
        <v>69</v>
      </c>
      <c r="B17" s="51"/>
    </row>
    <row r="18" customFormat="false" ht="14.4" hidden="false" customHeight="false" outlineLevel="0" collapsed="false">
      <c r="A18" s="52"/>
      <c r="B18" s="53" t="s">
        <v>60</v>
      </c>
    </row>
    <row r="19" customFormat="false" ht="13.8" hidden="false" customHeight="false" outlineLevel="0" collapsed="false">
      <c r="A19" s="29" t="s">
        <v>61</v>
      </c>
      <c r="B19" s="29" t="s">
        <v>62</v>
      </c>
      <c r="C19" s="29" t="s">
        <v>63</v>
      </c>
      <c r="D19" s="29" t="s">
        <v>64</v>
      </c>
      <c r="E19" s="29" t="s">
        <v>65</v>
      </c>
    </row>
    <row r="20" customFormat="false" ht="13.2" hidden="false" customHeight="false" outlineLevel="0" collapsed="false">
      <c r="A20" s="54" t="s">
        <v>506</v>
      </c>
      <c r="B20" s="33" t="s">
        <v>60</v>
      </c>
      <c r="C20" s="33" t="s">
        <v>72</v>
      </c>
      <c r="D20" s="33" t="s">
        <v>446</v>
      </c>
      <c r="E20" s="1" t="s">
        <v>507</v>
      </c>
    </row>
  </sheetData>
  <mergeCells count="12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J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2002-06-16T13:36:44Z</dcterms:created>
  <dc:creator>Tomchin</dc:creator>
  <dc:description/>
  <dc:language>ru-RU</dc:language>
  <cp:lastModifiedBy/>
  <cp:lastPrinted>2021-02-14T14:31:00Z</cp:lastPrinted>
  <dcterms:modified xsi:type="dcterms:W3CDTF">2021-02-16T18:28:27Z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