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480" yWindow="12" windowWidth="11340" windowHeight="9696"/>
  </bookViews>
  <sheets>
    <sheet name="Rus Axle" sheetId="60" r:id="rId1"/>
    <sheet name="IPС-A Двоеборье б.э." sheetId="51" r:id="rId2"/>
    <sheet name="IPС Двоеборье б.э." sheetId="49" r:id="rId3"/>
    <sheet name="IPC-A Ягодичный мост" sheetId="48" r:id="rId4"/>
    <sheet name="IPC Ягодичный мост" sheetId="44" r:id="rId5"/>
    <sheet name="IPC-A К.подъем на бицепс" sheetId="40" r:id="rId6"/>
    <sheet name="IPC-A C.подъем на бицепс" sheetId="39" r:id="rId7"/>
    <sheet name="IPC-A Тяга без экипировки" sheetId="36" r:id="rId8"/>
    <sheet name="IPC К.подъем на бицепс" sheetId="35" r:id="rId9"/>
    <sheet name="IPC Тяга без экипировки" sheetId="31" r:id="rId10"/>
    <sheet name="IPC-A Жим софт стандарт" sheetId="27" r:id="rId11"/>
    <sheet name="IPC-A Жим лежа без экип" sheetId="24" r:id="rId12"/>
    <sheet name="IPC Жим софт стандарт" sheetId="20" r:id="rId13"/>
    <sheet name="IPC-A ПЛ без экипировки" sheetId="11" r:id="rId14"/>
    <sheet name="IPC-A Клас. ПЛ" sheetId="9" r:id="rId15"/>
    <sheet name="IPC ПЛ без экипировки" sheetId="7" r:id="rId16"/>
    <sheet name="IPC Клас. ПЛ" sheetId="5" r:id="rId17"/>
  </sheets>
  <definedNames>
    <definedName name="_FilterDatabase" localSheetId="16" hidden="1">'IPC Клас. ПЛ'!$A$1:$S$3</definedName>
  </definedNames>
  <calcPr calcId="144525" refMode="R1C1"/>
</workbook>
</file>

<file path=xl/calcChain.xml><?xml version="1.0" encoding="utf-8"?>
<calcChain xmlns="http://schemas.openxmlformats.org/spreadsheetml/2006/main">
  <c r="D6" i="60" l="1"/>
  <c r="K6" i="60"/>
  <c r="L6" i="60"/>
  <c r="P12" i="51" l="1"/>
  <c r="O12" i="51"/>
  <c r="D12" i="51"/>
  <c r="P9" i="51"/>
  <c r="O9" i="51"/>
  <c r="D9" i="51"/>
  <c r="P6" i="51"/>
  <c r="O6" i="51"/>
  <c r="D6" i="51"/>
  <c r="P6" i="49"/>
  <c r="O6" i="49"/>
  <c r="D6" i="49"/>
  <c r="L6" i="48"/>
  <c r="K6" i="48"/>
  <c r="D6" i="48"/>
  <c r="L6" i="44"/>
  <c r="K6" i="44"/>
  <c r="D6" i="44"/>
  <c r="L6" i="40"/>
  <c r="K6" i="40"/>
  <c r="D6" i="40"/>
  <c r="L6" i="39"/>
  <c r="K6" i="39"/>
  <c r="D6" i="39"/>
  <c r="L28" i="36"/>
  <c r="K28" i="36"/>
  <c r="D28" i="36"/>
  <c r="L27" i="36"/>
  <c r="K27" i="36"/>
  <c r="D27" i="36"/>
  <c r="L24" i="36"/>
  <c r="K24" i="36"/>
  <c r="D24" i="36"/>
  <c r="L21" i="36"/>
  <c r="K21" i="36"/>
  <c r="D21" i="36"/>
  <c r="L18" i="36"/>
  <c r="K18" i="36"/>
  <c r="D18" i="36"/>
  <c r="L15" i="36"/>
  <c r="K15" i="36"/>
  <c r="D15" i="36"/>
  <c r="L12" i="36"/>
  <c r="K12" i="36"/>
  <c r="D12" i="36"/>
  <c r="L11" i="36"/>
  <c r="K11" i="36"/>
  <c r="D11" i="36"/>
  <c r="L10" i="36"/>
  <c r="K10" i="36"/>
  <c r="D10" i="36"/>
  <c r="L7" i="36"/>
  <c r="K7" i="36"/>
  <c r="D7" i="36"/>
  <c r="L6" i="36"/>
  <c r="K6" i="36"/>
  <c r="D6" i="36"/>
  <c r="L6" i="35"/>
  <c r="K6" i="35"/>
  <c r="D6" i="35"/>
  <c r="L9" i="31"/>
  <c r="K9" i="31"/>
  <c r="D9" i="31"/>
  <c r="L6" i="31"/>
  <c r="K6" i="31"/>
  <c r="D6" i="31"/>
  <c r="L7" i="27"/>
  <c r="K7" i="27"/>
  <c r="D7" i="27"/>
  <c r="L6" i="27"/>
  <c r="K6" i="27"/>
  <c r="D6" i="27"/>
  <c r="L35" i="24"/>
  <c r="K35" i="24"/>
  <c r="D35" i="24"/>
  <c r="L32" i="24"/>
  <c r="K32" i="24"/>
  <c r="D32" i="24"/>
  <c r="L31" i="24"/>
  <c r="K31" i="24"/>
  <c r="D31" i="24"/>
  <c r="L30" i="24"/>
  <c r="K30" i="24"/>
  <c r="D30" i="24"/>
  <c r="L29" i="24"/>
  <c r="K29" i="24"/>
  <c r="D29" i="24"/>
  <c r="L26" i="24"/>
  <c r="K26" i="24"/>
  <c r="D26" i="24"/>
  <c r="L25" i="24"/>
  <c r="K25" i="24"/>
  <c r="D25" i="24"/>
  <c r="L22" i="24"/>
  <c r="K22" i="24"/>
  <c r="D22" i="24"/>
  <c r="L21" i="24"/>
  <c r="K21" i="24"/>
  <c r="D21" i="24"/>
  <c r="L18" i="24"/>
  <c r="K18" i="24"/>
  <c r="D18" i="24"/>
  <c r="L17" i="24"/>
  <c r="K17" i="24"/>
  <c r="D17" i="24"/>
  <c r="L16" i="24"/>
  <c r="K16" i="24"/>
  <c r="D16" i="24"/>
  <c r="L15" i="24"/>
  <c r="K15" i="24"/>
  <c r="D15" i="24"/>
  <c r="L12" i="24"/>
  <c r="K12" i="24"/>
  <c r="D12" i="24"/>
  <c r="L9" i="24"/>
  <c r="K9" i="24"/>
  <c r="D9" i="24"/>
  <c r="L6" i="24"/>
  <c r="K6" i="24"/>
  <c r="D6" i="24"/>
  <c r="L6" i="20"/>
  <c r="K6" i="20"/>
  <c r="D6" i="20"/>
  <c r="T19" i="11"/>
  <c r="S19" i="11"/>
  <c r="D19" i="11"/>
  <c r="T16" i="11"/>
  <c r="S16" i="11"/>
  <c r="D16" i="11"/>
  <c r="T13" i="11"/>
  <c r="S13" i="11"/>
  <c r="D13" i="11"/>
  <c r="T10" i="11"/>
  <c r="S10" i="11"/>
  <c r="D10" i="11"/>
  <c r="T9" i="11"/>
  <c r="S9" i="11"/>
  <c r="D9" i="11"/>
  <c r="T6" i="11"/>
  <c r="S6" i="11"/>
  <c r="D6" i="11"/>
  <c r="T24" i="9"/>
  <c r="S24" i="9"/>
  <c r="D24" i="9"/>
  <c r="T21" i="9"/>
  <c r="S21" i="9"/>
  <c r="D21" i="9"/>
  <c r="T18" i="9"/>
  <c r="S18" i="9"/>
  <c r="D18" i="9"/>
  <c r="T15" i="9"/>
  <c r="S15" i="9"/>
  <c r="D15" i="9"/>
  <c r="T14" i="9"/>
  <c r="S14" i="9"/>
  <c r="D14" i="9"/>
  <c r="T11" i="9"/>
  <c r="S11" i="9"/>
  <c r="D11" i="9"/>
  <c r="T10" i="9"/>
  <c r="S10" i="9"/>
  <c r="D10" i="9"/>
  <c r="T7" i="9"/>
  <c r="S7" i="9"/>
  <c r="D7" i="9"/>
  <c r="T6" i="9"/>
  <c r="S6" i="9"/>
  <c r="D6" i="9"/>
  <c r="T6" i="7"/>
  <c r="S6" i="7"/>
  <c r="D6" i="7"/>
  <c r="T15" i="5"/>
  <c r="S15" i="5"/>
  <c r="D15" i="5"/>
  <c r="T12" i="5"/>
  <c r="S12" i="5"/>
  <c r="D12" i="5"/>
  <c r="T9" i="5"/>
  <c r="S9" i="5"/>
  <c r="D9" i="5"/>
  <c r="T6" i="5"/>
  <c r="S6" i="5"/>
  <c r="D6" i="5"/>
</calcChain>
</file>

<file path=xl/sharedStrings.xml><?xml version="1.0" encoding="utf-8"?>
<sst xmlns="http://schemas.openxmlformats.org/spreadsheetml/2006/main" count="1472" uniqueCount="396">
  <si>
    <t>ФИО</t>
  </si>
  <si>
    <t>Сумма</t>
  </si>
  <si>
    <t>Тренер</t>
  </si>
  <si>
    <t>Очки</t>
  </si>
  <si>
    <t>Команда</t>
  </si>
  <si>
    <t>Рек</t>
  </si>
  <si>
    <t>Возрастная группа
Дата рождения/Возраст</t>
  </si>
  <si>
    <t>Город/Область</t>
  </si>
  <si>
    <t>Собственный 
вес</t>
  </si>
  <si>
    <t>ОТКРЫТЫЙ НАЦИОНАЛЬНЫЙ КУБОК - “КУБОК СВАРОГА - 11” IPC/IPC-A/WAA - 2024
IPC Пауэрлифтинг классический
Курск/Курская область 16 - 17 марта 2024 г.</t>
  </si>
  <si>
    <t>Gloss</t>
  </si>
  <si>
    <t>Приседание</t>
  </si>
  <si>
    <t>Жим лёжа</t>
  </si>
  <si>
    <t>Становая тяга</t>
  </si>
  <si>
    <t>ВЕСОВАЯ КАТЕГОРИЯ   52</t>
  </si>
  <si>
    <t xml:space="preserve">Багдасарян Артем </t>
  </si>
  <si>
    <t xml:space="preserve">1. Багдасарян Артем </t>
  </si>
  <si>
    <t>Юноши 13 - 15 (16.03.2011)/13</t>
  </si>
  <si>
    <t>43,90</t>
  </si>
  <si>
    <t xml:space="preserve">лично </t>
  </si>
  <si>
    <t xml:space="preserve">Рыльск/Курская область </t>
  </si>
  <si>
    <t>50,0</t>
  </si>
  <si>
    <t>60,0</t>
  </si>
  <si>
    <t>70,0</t>
  </si>
  <si>
    <t>35,0</t>
  </si>
  <si>
    <t>45,0</t>
  </si>
  <si>
    <t>65,0</t>
  </si>
  <si>
    <t>80,0</t>
  </si>
  <si>
    <t xml:space="preserve"> </t>
  </si>
  <si>
    <t>ВЕСОВАЯ КАТЕГОРИЯ   82.5</t>
  </si>
  <si>
    <t xml:space="preserve">Ярцев Дмитрий </t>
  </si>
  <si>
    <t xml:space="preserve">1. Ярцев Дмитрий </t>
  </si>
  <si>
    <t>Открытая (21.07.1987)/36</t>
  </si>
  <si>
    <t>82,30</t>
  </si>
  <si>
    <t xml:space="preserve">Русич </t>
  </si>
  <si>
    <t xml:space="preserve">Алексеевка/Белгородская область </t>
  </si>
  <si>
    <t>150,0</t>
  </si>
  <si>
    <t>160,0</t>
  </si>
  <si>
    <t>165,0</t>
  </si>
  <si>
    <t>120,0</t>
  </si>
  <si>
    <t>125,0</t>
  </si>
  <si>
    <t>127,5</t>
  </si>
  <si>
    <t>130,0</t>
  </si>
  <si>
    <t>170,0</t>
  </si>
  <si>
    <t>ВЕСОВАЯ КАТЕГОРИЯ   90</t>
  </si>
  <si>
    <t xml:space="preserve">Марков Тимофей </t>
  </si>
  <si>
    <t xml:space="preserve">1. Марков Тимофей </t>
  </si>
  <si>
    <t>Открытая (07.03.1982)/42</t>
  </si>
  <si>
    <t>89,40</t>
  </si>
  <si>
    <t xml:space="preserve">Носорог </t>
  </si>
  <si>
    <t xml:space="preserve">Курск/Курская область </t>
  </si>
  <si>
    <t>175,0</t>
  </si>
  <si>
    <t>185,0</t>
  </si>
  <si>
    <t>195,0</t>
  </si>
  <si>
    <t>140,0</t>
  </si>
  <si>
    <t>145,0</t>
  </si>
  <si>
    <t>230,0</t>
  </si>
  <si>
    <t>ВЕСОВАЯ КАТЕГОРИЯ   140</t>
  </si>
  <si>
    <t xml:space="preserve">Булгаков Владимир </t>
  </si>
  <si>
    <t xml:space="preserve">1. Булгаков Владимир </t>
  </si>
  <si>
    <t>Открытая (15.05.1990)/33</t>
  </si>
  <si>
    <t>138,50</t>
  </si>
  <si>
    <t>300,0</t>
  </si>
  <si>
    <t>315,0</t>
  </si>
  <si>
    <t>215,0</t>
  </si>
  <si>
    <t>225,0</t>
  </si>
  <si>
    <t>240,0</t>
  </si>
  <si>
    <t>350,0</t>
  </si>
  <si>
    <t>370,0</t>
  </si>
  <si>
    <t>400,0</t>
  </si>
  <si>
    <t>Главный судья:</t>
  </si>
  <si>
    <t>Главный секретарь:</t>
  </si>
  <si>
    <t>Старший судья:</t>
  </si>
  <si>
    <t>Боковой судья:</t>
  </si>
  <si>
    <t>Секретарь:</t>
  </si>
  <si>
    <t xml:space="preserve">Абсолютный зачёт </t>
  </si>
  <si>
    <t xml:space="preserve">Мужчины </t>
  </si>
  <si>
    <t xml:space="preserve">Юноши </t>
  </si>
  <si>
    <t xml:space="preserve">ФИО </t>
  </si>
  <si>
    <t xml:space="preserve">Возрастная группа </t>
  </si>
  <si>
    <t xml:space="preserve">Весовая </t>
  </si>
  <si>
    <t xml:space="preserve">Сумма </t>
  </si>
  <si>
    <t xml:space="preserve">Gloss </t>
  </si>
  <si>
    <t xml:space="preserve">Юноши 13 - 15 </t>
  </si>
  <si>
    <t>52</t>
  </si>
  <si>
    <t xml:space="preserve">Открытая </t>
  </si>
  <si>
    <t>140</t>
  </si>
  <si>
    <t>90</t>
  </si>
  <si>
    <t>82.5</t>
  </si>
  <si>
    <t>ОТКРЫТЫЙ НАЦИОНАЛЬНЫЙ КУБОК - “КУБОК СВАРОГА - 11” IPC/IPC-A/WAA - 2024
IPC Пауэрлифтинг без экипировки
Курск/Курская область 16 - 17 марта 2024 г.</t>
  </si>
  <si>
    <t>ВЕСОВАЯ КАТЕГОРИЯ   110</t>
  </si>
  <si>
    <t xml:space="preserve">Чехов Николай </t>
  </si>
  <si>
    <t xml:space="preserve">1. Чехов Николай </t>
  </si>
  <si>
    <t>Открытая (26.03.1979)/44</t>
  </si>
  <si>
    <t>105,90</t>
  </si>
  <si>
    <t xml:space="preserve">Серпухов/Московская область </t>
  </si>
  <si>
    <t>200,0</t>
  </si>
  <si>
    <t>250,0</t>
  </si>
  <si>
    <t>270,0</t>
  </si>
  <si>
    <t>280,0</t>
  </si>
  <si>
    <t>110</t>
  </si>
  <si>
    <t>ОТКРЫТЫЙ НАЦИОНАЛЬНЫЙ КУБОК - “КУБОК СВАРОГА - 11” IPC/IPC-A/WAA - 2024
IPC-A Пауэрлифтинг классический
Курск/Курская область 16 - 17 марта 2024 г.</t>
  </si>
  <si>
    <t>ВЕСОВАЯ КАТЕГОРИЯ   56</t>
  </si>
  <si>
    <t xml:space="preserve">Енина Елена </t>
  </si>
  <si>
    <t xml:space="preserve">1. Енина Елена </t>
  </si>
  <si>
    <t>Открытая (10.05.1989)/34</t>
  </si>
  <si>
    <t>55,40</t>
  </si>
  <si>
    <t>90,0</t>
  </si>
  <si>
    <t>112,5</t>
  </si>
  <si>
    <t xml:space="preserve">Умеренков Игорь </t>
  </si>
  <si>
    <t xml:space="preserve">-. Енина Елена </t>
  </si>
  <si>
    <t>Саб. мастера 33 - 39 (10.05.1989)/34</t>
  </si>
  <si>
    <t>ВЕСОВАЯ КАТЕГОРИЯ   67.5</t>
  </si>
  <si>
    <t xml:space="preserve">Крамская Вероника </t>
  </si>
  <si>
    <t xml:space="preserve">1. Крамская Вероника </t>
  </si>
  <si>
    <t>Девушки 16 - 17 (18.12.2006)/17</t>
  </si>
  <si>
    <t>64,10</t>
  </si>
  <si>
    <t>77,5</t>
  </si>
  <si>
    <t>87,5</t>
  </si>
  <si>
    <t>40,0</t>
  </si>
  <si>
    <t>110,0</t>
  </si>
  <si>
    <t>117,5</t>
  </si>
  <si>
    <t>122,5</t>
  </si>
  <si>
    <t xml:space="preserve">Савельева Юлия </t>
  </si>
  <si>
    <t xml:space="preserve">1. Савельева Юлия </t>
  </si>
  <si>
    <t>Открытая (06.11.1996)/27</t>
  </si>
  <si>
    <t>66,50</t>
  </si>
  <si>
    <t>115,0</t>
  </si>
  <si>
    <t>55,0</t>
  </si>
  <si>
    <t>135,0</t>
  </si>
  <si>
    <t>ВЕСОВАЯ КАТЕГОРИЯ   75</t>
  </si>
  <si>
    <t xml:space="preserve">Макарова Диана </t>
  </si>
  <si>
    <t xml:space="preserve">-. Макарова Диана </t>
  </si>
  <si>
    <t>Девушки 18 - 19 (23.07.2005)/18</t>
  </si>
  <si>
    <t>74,60</t>
  </si>
  <si>
    <t>137,5</t>
  </si>
  <si>
    <t>52,5</t>
  </si>
  <si>
    <t xml:space="preserve">Яковлева Анастасия </t>
  </si>
  <si>
    <t xml:space="preserve">1. Яковлева Анастасия </t>
  </si>
  <si>
    <t>Открытая (17.07.1992)/31</t>
  </si>
  <si>
    <t>74,50</t>
  </si>
  <si>
    <t>42,5</t>
  </si>
  <si>
    <t>47,5</t>
  </si>
  <si>
    <t>132,5</t>
  </si>
  <si>
    <t xml:space="preserve">Копцев Никита </t>
  </si>
  <si>
    <t xml:space="preserve">1. Копцев Никита </t>
  </si>
  <si>
    <t>Юноши 18 - 19 (26.12.2005)/18</t>
  </si>
  <si>
    <t>80,70</t>
  </si>
  <si>
    <t>85,0</t>
  </si>
  <si>
    <t>92,5</t>
  </si>
  <si>
    <t>180,0</t>
  </si>
  <si>
    <t xml:space="preserve">Савин Максим </t>
  </si>
  <si>
    <t xml:space="preserve">1. Савин Максим </t>
  </si>
  <si>
    <t>Юноши 16 - 17 (27.12.2007)/16</t>
  </si>
  <si>
    <t>87,50</t>
  </si>
  <si>
    <t>75,0</t>
  </si>
  <si>
    <t xml:space="preserve">Савельев Иван </t>
  </si>
  <si>
    <t xml:space="preserve">1. Савельев Иван </t>
  </si>
  <si>
    <t>Открытая (29.11.1995)/28</t>
  </si>
  <si>
    <t>104,80</t>
  </si>
  <si>
    <t>245,0</t>
  </si>
  <si>
    <t>142,5</t>
  </si>
  <si>
    <t>220,0</t>
  </si>
  <si>
    <t xml:space="preserve">Женщины </t>
  </si>
  <si>
    <t xml:space="preserve">Девушки </t>
  </si>
  <si>
    <t xml:space="preserve">Юноши 16 - 17 </t>
  </si>
  <si>
    <t>67.5</t>
  </si>
  <si>
    <t>56</t>
  </si>
  <si>
    <t>75</t>
  </si>
  <si>
    <t xml:space="preserve">Юноши 18 - 19 </t>
  </si>
  <si>
    <t>ОТКРЫТЫЙ НАЦИОНАЛЬНЫЙ КУБОК - “КУБОК СВАРОГА - 11” IPC/IPC-A/WAA - 2024
IPC-A Пауэрлифтинг без экипировки
Курск/Курская область 16 - 17 марта 2024 г.</t>
  </si>
  <si>
    <t xml:space="preserve">Позднякова Алина </t>
  </si>
  <si>
    <t xml:space="preserve">1. Позднякова Алина </t>
  </si>
  <si>
    <t>Открытая (03.11.1999)/24</t>
  </si>
  <si>
    <t>52,00</t>
  </si>
  <si>
    <t xml:space="preserve">ФК "Академия" </t>
  </si>
  <si>
    <t>82,5</t>
  </si>
  <si>
    <t>ВЕСОВАЯ КАТЕГОРИЯ   60</t>
  </si>
  <si>
    <t xml:space="preserve">Серкова Елена </t>
  </si>
  <si>
    <t xml:space="preserve">1. Серкова Елена </t>
  </si>
  <si>
    <t>Девушки 13 - 15 (11.04.2008)/15</t>
  </si>
  <si>
    <t>58,50</t>
  </si>
  <si>
    <t>57,5</t>
  </si>
  <si>
    <t>95,0</t>
  </si>
  <si>
    <t xml:space="preserve">Комаристая Ангелина </t>
  </si>
  <si>
    <t xml:space="preserve">1. Комаристая Ангелина </t>
  </si>
  <si>
    <t>Девушки 16 - 17 (06.11.2007)/16</t>
  </si>
  <si>
    <t>58,60</t>
  </si>
  <si>
    <t>97,5</t>
  </si>
  <si>
    <t>100,0</t>
  </si>
  <si>
    <t xml:space="preserve">Сапелкин Степан </t>
  </si>
  <si>
    <t xml:space="preserve">1. Сапелкин Степан </t>
  </si>
  <si>
    <t>Юноши 16 - 17 (22.08.2007)/16</t>
  </si>
  <si>
    <t>75,00</t>
  </si>
  <si>
    <t xml:space="preserve">Стародубцев Иван </t>
  </si>
  <si>
    <t xml:space="preserve">1. Стародубцев Иван </t>
  </si>
  <si>
    <t>Юноши 13 - 15 (30.06.2009)/14</t>
  </si>
  <si>
    <t>79,40</t>
  </si>
  <si>
    <t>105,0</t>
  </si>
  <si>
    <t xml:space="preserve">Репин Никита </t>
  </si>
  <si>
    <t xml:space="preserve">1. Репин Никита </t>
  </si>
  <si>
    <t>Юноши 13 - 15 (25.09.2009)/14</t>
  </si>
  <si>
    <t>102,50</t>
  </si>
  <si>
    <t>67,5</t>
  </si>
  <si>
    <t>72,5</t>
  </si>
  <si>
    <t>107,5</t>
  </si>
  <si>
    <t>60</t>
  </si>
  <si>
    <t>Результат</t>
  </si>
  <si>
    <t>ОТКРЫТЫЙ НАЦИОНАЛЬНЫЙ КУБОК - “КУБОК СВАРОГА - 11” IPC/IPC-A/WAA - 2024
IPC Жим лежа в стандартной  софт-экипировке
Курск/Курская область 16 - 17 марта 2024 г.</t>
  </si>
  <si>
    <t>ВЕСОВАЯ КАТЕГОРИЯ   100</t>
  </si>
  <si>
    <t xml:space="preserve">Анцышкин Сергей </t>
  </si>
  <si>
    <t xml:space="preserve">1. Анцышкин Сергей </t>
  </si>
  <si>
    <t>Открытая (23.02.1990)/34</t>
  </si>
  <si>
    <t>99,10</t>
  </si>
  <si>
    <t xml:space="preserve">СПАРТА </t>
  </si>
  <si>
    <t xml:space="preserve">Железногорск/Курская область </t>
  </si>
  <si>
    <t>312,5</t>
  </si>
  <si>
    <t xml:space="preserve">Результат </t>
  </si>
  <si>
    <t>100</t>
  </si>
  <si>
    <t>ОТКРЫТЫЙ НАЦИОНАЛЬНЫЙ КУБОК - “КУБОК СВАРОГА - 11” IPC/IPC-A/WAA - 2024
IPC-A Жим лежа без экипировки
Курск/Курская область 16 - 17 марта 2024 г.</t>
  </si>
  <si>
    <t xml:space="preserve">Скобцова Анна </t>
  </si>
  <si>
    <t xml:space="preserve">1. Скобцова Анна </t>
  </si>
  <si>
    <t>Открытая (31.03.1996)/27</t>
  </si>
  <si>
    <t>58,90</t>
  </si>
  <si>
    <t>ВЕСОВАЯ КАТЕГОРИЯ   90+</t>
  </si>
  <si>
    <t xml:space="preserve">Бирюкова Екатерина </t>
  </si>
  <si>
    <t xml:space="preserve">1. Бирюкова Екатерина </t>
  </si>
  <si>
    <t>Ветераны 40 - 44 (09.03.1982)/42</t>
  </si>
  <si>
    <t>114,30</t>
  </si>
  <si>
    <t xml:space="preserve">Воевода </t>
  </si>
  <si>
    <t xml:space="preserve">Воронеж/Воронежская область </t>
  </si>
  <si>
    <t xml:space="preserve">Васильев Тимур </t>
  </si>
  <si>
    <t xml:space="preserve">1. Васильев Тимур </t>
  </si>
  <si>
    <t>Юноши 13 - 15 (27.01.2011)/13</t>
  </si>
  <si>
    <t>55,00</t>
  </si>
  <si>
    <t>30,0</t>
  </si>
  <si>
    <t>37,5</t>
  </si>
  <si>
    <t xml:space="preserve">Натаров Степан </t>
  </si>
  <si>
    <t xml:space="preserve">1. Натаров Степан </t>
  </si>
  <si>
    <t>Юноши 13 - 15 (07.12.2009)/14</t>
  </si>
  <si>
    <t>65,10</t>
  </si>
  <si>
    <t>62,5</t>
  </si>
  <si>
    <t xml:space="preserve">Толмачева Жанна </t>
  </si>
  <si>
    <t xml:space="preserve">Лосев Денис </t>
  </si>
  <si>
    <t xml:space="preserve">2. Лосев Денис </t>
  </si>
  <si>
    <t>Юноши 13 - 15 (17.06.2008)/15</t>
  </si>
  <si>
    <t>65,70</t>
  </si>
  <si>
    <t xml:space="preserve">Войло Евгений </t>
  </si>
  <si>
    <t xml:space="preserve">1. Войло Евгений </t>
  </si>
  <si>
    <t>Открытая (04.08.1983)/40</t>
  </si>
  <si>
    <t>64,90</t>
  </si>
  <si>
    <t>Ветераны 40 - 44 (04.08.1983)/40</t>
  </si>
  <si>
    <t xml:space="preserve">Сакр Илья </t>
  </si>
  <si>
    <t xml:space="preserve">1. Сакр Илья </t>
  </si>
  <si>
    <t>Юноши 16 - 17 (21.08.2007)/16</t>
  </si>
  <si>
    <t>73,90</t>
  </si>
  <si>
    <t xml:space="preserve">Бычков Данил </t>
  </si>
  <si>
    <t xml:space="preserve">Болотский Игорь </t>
  </si>
  <si>
    <t xml:space="preserve">1. Болотский Игорь </t>
  </si>
  <si>
    <t>Открытая (25.01.1998)/26</t>
  </si>
  <si>
    <t>73,20</t>
  </si>
  <si>
    <t xml:space="preserve">Киселев Владислав </t>
  </si>
  <si>
    <t xml:space="preserve">1. Киселев Владислав </t>
  </si>
  <si>
    <t>Открытая (12.10.1990)/33</t>
  </si>
  <si>
    <t>81,00</t>
  </si>
  <si>
    <t xml:space="preserve">Бавыкин Павел </t>
  </si>
  <si>
    <t xml:space="preserve">2. Бавыкин Павел </t>
  </si>
  <si>
    <t>Открытая (04.12.1991)/32</t>
  </si>
  <si>
    <t>81,60</t>
  </si>
  <si>
    <t>102,5</t>
  </si>
  <si>
    <t xml:space="preserve">Лешков Юрий </t>
  </si>
  <si>
    <t xml:space="preserve">1. Лешков Юрий </t>
  </si>
  <si>
    <t>Юноши 13 - 15 (16.06.2009)/14</t>
  </si>
  <si>
    <t>96,10</t>
  </si>
  <si>
    <t xml:space="preserve">Родных Ярослав </t>
  </si>
  <si>
    <t xml:space="preserve">1. Родных Ярослав </t>
  </si>
  <si>
    <t>Юноши 18 - 19 (11.09.2005)/18</t>
  </si>
  <si>
    <t>97,40</t>
  </si>
  <si>
    <t xml:space="preserve">Белый Павел </t>
  </si>
  <si>
    <t xml:space="preserve">1. Белый Павел </t>
  </si>
  <si>
    <t>Открытая (03.06.1978)/45</t>
  </si>
  <si>
    <t>98,70</t>
  </si>
  <si>
    <t>Ветераны 45 - 49 (03.06.1978)/45</t>
  </si>
  <si>
    <t xml:space="preserve">Артюхов Артем </t>
  </si>
  <si>
    <t xml:space="preserve">1. Артюхов Артем </t>
  </si>
  <si>
    <t>Ветераны 40 - 44 (04.11.1981)/42</t>
  </si>
  <si>
    <t>107,70</t>
  </si>
  <si>
    <t>155,0</t>
  </si>
  <si>
    <t xml:space="preserve">Ветераны </t>
  </si>
  <si>
    <t xml:space="preserve">Ветераны 40 - 44 </t>
  </si>
  <si>
    <t>90+</t>
  </si>
  <si>
    <t xml:space="preserve">Ветераны 45 - 49 </t>
  </si>
  <si>
    <t>ОТКРЫТЫЙ НАЦИОНАЛЬНЫЙ КУБОК - “КУБОК СВАРОГА - 11” IPC/IPC-A/WAA - 2024
IPC-A Жим лежа в стандартной  софт-экипировке
Курск/Курская область 16 - 17 марта 2024 г.</t>
  </si>
  <si>
    <t xml:space="preserve">Костенников Олег </t>
  </si>
  <si>
    <t xml:space="preserve">1. Костенников Олег </t>
  </si>
  <si>
    <t>Открытая (24.01.1966)/58</t>
  </si>
  <si>
    <t>105,70</t>
  </si>
  <si>
    <t>210,0</t>
  </si>
  <si>
    <t>212,5</t>
  </si>
  <si>
    <t>Ветераны 55 - 59 (24.01.1966)/58</t>
  </si>
  <si>
    <t xml:space="preserve">Ветераны 55 - 59 </t>
  </si>
  <si>
    <t>ОТКРЫТЫЙ НАЦИОНАЛЬНЫЙ КУБОК - “КУБОК СВАРОГА - 11” IPC/IPC-A/WAA - 2024
IPC Становая тяга без экипировки
Курск/Курская область 16 - 17 марта 2024 г.</t>
  </si>
  <si>
    <t xml:space="preserve">Михайлова Оксана </t>
  </si>
  <si>
    <t xml:space="preserve">1. Михайлова Оксана </t>
  </si>
  <si>
    <t>Открытая (04.08.1991)/32</t>
  </si>
  <si>
    <t>59,80</t>
  </si>
  <si>
    <t xml:space="preserve">Соломенцева Наталья </t>
  </si>
  <si>
    <t xml:space="preserve">1. Соломенцева Наталья </t>
  </si>
  <si>
    <t>Открытая (25.05.1999)/24</t>
  </si>
  <si>
    <t>61,00</t>
  </si>
  <si>
    <t>ОТКРЫТЫЙ НАЦИОНАЛЬНЫЙ КУБОК - “КУБОК СВАРОГА - 11” IPC/IPC-A/WAA - 2024
IPC Классический подъем на бицепс
Курск/Курская область 16 - 17 марта 2024 г.</t>
  </si>
  <si>
    <t>Подъем на бицепс</t>
  </si>
  <si>
    <t>ОТКРЫТЫЙ НАЦИОНАЛЬНЫЙ КУБОК - “КУБОК СВАРОГА - 11” IPC/IPC-A/WAA - 2024
IPC-A Становая тяга без экипировки
Курск/Курская область 16 - 17 марта 2024 г.</t>
  </si>
  <si>
    <t xml:space="preserve">Лаврикова Юлия </t>
  </si>
  <si>
    <t xml:space="preserve">2. Лаврикова Юлия </t>
  </si>
  <si>
    <t>Открытая (01.03.1998)/26</t>
  </si>
  <si>
    <t>51,20</t>
  </si>
  <si>
    <t xml:space="preserve">Пронская Алина </t>
  </si>
  <si>
    <t xml:space="preserve">1. Пронская Алина </t>
  </si>
  <si>
    <t>Девушки 13 - 15 (09.11.2008)/15</t>
  </si>
  <si>
    <t>66,80</t>
  </si>
  <si>
    <t xml:space="preserve">Османова Кристина </t>
  </si>
  <si>
    <t xml:space="preserve">1. Османова Кристина </t>
  </si>
  <si>
    <t>Открытая (27.09.1994)/29</t>
  </si>
  <si>
    <t>62,50</t>
  </si>
  <si>
    <t xml:space="preserve">Шашкова Наталья </t>
  </si>
  <si>
    <t xml:space="preserve">1. Шашкова Наталья </t>
  </si>
  <si>
    <t>Саб. мастера 33 - 39 (20.01.1985)/39</t>
  </si>
  <si>
    <t>62,90</t>
  </si>
  <si>
    <t xml:space="preserve">1. Макарова Диана </t>
  </si>
  <si>
    <t xml:space="preserve">Вислогузов Никита </t>
  </si>
  <si>
    <t xml:space="preserve">1. Вислогузов Никита </t>
  </si>
  <si>
    <t>Открытая (29.10.1990)/33</t>
  </si>
  <si>
    <t>67,30</t>
  </si>
  <si>
    <t>190,0</t>
  </si>
  <si>
    <t xml:space="preserve">Харитонов Виталий </t>
  </si>
  <si>
    <t xml:space="preserve">1. Харитонов Виталий </t>
  </si>
  <si>
    <t>Открытая (25.11.1988)/35</t>
  </si>
  <si>
    <t>73,70</t>
  </si>
  <si>
    <t>202,5</t>
  </si>
  <si>
    <t>207,5</t>
  </si>
  <si>
    <t xml:space="preserve">Касмынин Евгений </t>
  </si>
  <si>
    <t xml:space="preserve">1. Касмынин Евгений </t>
  </si>
  <si>
    <t>Юноши 16 - 17 (19.01.2007)/17</t>
  </si>
  <si>
    <t>81,20</t>
  </si>
  <si>
    <t xml:space="preserve">Кошман Александр </t>
  </si>
  <si>
    <t xml:space="preserve">1. Кошман Александр </t>
  </si>
  <si>
    <t>Открытая (05.08.1971)/52</t>
  </si>
  <si>
    <t>89,80</t>
  </si>
  <si>
    <t xml:space="preserve">Белгород/Белгородская область </t>
  </si>
  <si>
    <t>Ветераны 50 - 54 (05.08.1971)/52</t>
  </si>
  <si>
    <t xml:space="preserve">Саб. </t>
  </si>
  <si>
    <t xml:space="preserve">Саб. мастера 33 - 39 </t>
  </si>
  <si>
    <t xml:space="preserve">Ветераны 50 - 54 </t>
  </si>
  <si>
    <t>ОТКРЫТЫЙ НАЦИОНАЛЬНЫЙ КУБОК - “КУБОК СВАРОГА - 11” IPC/IPC-A/WAA - 2024
IPC-A Строгий подъем на бицепс
Курск/Курская область 16 - 17 марта 2024 г.</t>
  </si>
  <si>
    <t xml:space="preserve">Забугин Дмитрий </t>
  </si>
  <si>
    <t xml:space="preserve">1. Забугин Дмитрий </t>
  </si>
  <si>
    <t>Открытая (29.04.1997)/26</t>
  </si>
  <si>
    <t>98,00</t>
  </si>
  <si>
    <t>ОТКРЫТЫЙ НАЦИОНАЛЬНЫЙ КУБОК - “КУБОК СВАРОГА - 11” IPC/IPC-A/WAA - 2024
IPC-A Классический подъем на бицепс
Курск/Курская область 16 - 17 марта 2024 г.</t>
  </si>
  <si>
    <t>ОТКРЫТЫЙ НАЦИОНАЛЬНЫЙ КУБОК - “КУБОК СВАРОГА - 11” IPC/IPC-A/WAA - 2024
IPC Ягодичный мост
Курск/Курская область 16 - 17 марта 2024 г.</t>
  </si>
  <si>
    <t>Ягодичный мост</t>
  </si>
  <si>
    <t>217,5</t>
  </si>
  <si>
    <t>ОТКРЫТЫЙ НАЦИОНАЛЬНЫЙ КУБОК - “КУБОК СВАРОГА - 11” IPC/IPC-A/WAA - 2024
IPC-A Ягодичный мост
Курск/Курская область 16 - 17 марта 2024 г.</t>
  </si>
  <si>
    <t>Открытая (20.01.1985)/39</t>
  </si>
  <si>
    <t>ОТКРЫТЫЙ НАЦИОНАЛЬНЫЙ КУБОК - “КУБОК СВАРОГА - 11” IPC/IPC-A/WAA - 2024
IPС Силовое двоеборье без экипировки
Курск/Курская область 16 - 17 марта 2024 г.</t>
  </si>
  <si>
    <t xml:space="preserve">Лындин Иван </t>
  </si>
  <si>
    <t xml:space="preserve">1. Лындин Иван </t>
  </si>
  <si>
    <t>Открытая (04.01.1993)/31</t>
  </si>
  <si>
    <t>106,90</t>
  </si>
  <si>
    <t>177,5</t>
  </si>
  <si>
    <t>182,5</t>
  </si>
  <si>
    <t>255,0</t>
  </si>
  <si>
    <t>265,0</t>
  </si>
  <si>
    <t>275,0</t>
  </si>
  <si>
    <t>ОТКРЫТЫЙ НАЦИОНАЛЬНЫЙ КУБОК - “КУБОК СВАРОГА - 11” IPC/IPC-A/WAA - 2024
IPС-A Силовое двоеборье без экипировки
Курск/Курская область 16 - 17 марта 2024 г.</t>
  </si>
  <si>
    <t xml:space="preserve">Анцышкина Татьяна </t>
  </si>
  <si>
    <t xml:space="preserve">1. Анцышкина Татьяна </t>
  </si>
  <si>
    <t>Открытая (22.11.1988)/35</t>
  </si>
  <si>
    <t>85,00</t>
  </si>
  <si>
    <t>152,5</t>
  </si>
  <si>
    <t xml:space="preserve">Бессонов Сергей </t>
  </si>
  <si>
    <t xml:space="preserve">1. Бессонов Сергей </t>
  </si>
  <si>
    <t>Открытая (04.01.1997)/27</t>
  </si>
  <si>
    <t>73,30</t>
  </si>
  <si>
    <t>147,5</t>
  </si>
  <si>
    <t>ОТКРЫТЫЙ НАЦИОНАЛЬНЫЙ КУБОК - “КУБОК СВАРОГА - 11” IPC/IPC-A/WAA - 2024
«Русская ось»
Курск/Курская область 16 - 17 марта 2024 г.</t>
  </si>
  <si>
    <t>Тяга</t>
  </si>
  <si>
    <t>ВЕСОВАЯ КАТЕГОРИЯ   70</t>
  </si>
  <si>
    <t xml:space="preserve">Шишонков Никита </t>
  </si>
  <si>
    <t xml:space="preserve">1. Шишонков Никита </t>
  </si>
  <si>
    <t>Юниоры (24.05.2006)/17</t>
  </si>
  <si>
    <t>0,00</t>
  </si>
  <si>
    <t xml:space="preserve">Орёл/Орловская область </t>
  </si>
  <si>
    <t xml:space="preserve">Юниоры </t>
  </si>
  <si>
    <t>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</si>
</sst>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0"/>
  </numFmts>
  <fonts count="9" x14ac:knownFonts="1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24"/>
      <name val="Arial Cyr"/>
      <charset val="204"/>
    </font>
    <font>
      <sz val="12"/>
      <name val="Arial Cyr"/>
      <charset val="204"/>
    </font>
    <font>
      <i/>
      <sz val="12"/>
      <name val="Arial Cyr"/>
      <charset val="204"/>
    </font>
    <font>
      <strike/>
      <sz val="10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9" fontId="2" fillId="0" borderId="1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8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49" fontId="0" fillId="0" borderId="1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left"/>
    </xf>
    <xf numFmtId="49" fontId="0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1" fillId="0" borderId="11" xfId="0" applyNumberFormat="1" applyFont="1" applyFill="1" applyBorder="1" applyAlignment="1">
      <alignment horizontal="left"/>
    </xf>
    <xf numFmtId="0" fontId="1" fillId="0" borderId="11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49" fontId="4" fillId="0" borderId="0" xfId="0" applyNumberFormat="1" applyFont="1" applyFill="1" applyBorder="1" applyAlignment="1">
      <alignment horizontal="left"/>
    </xf>
    <xf numFmtId="49" fontId="7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 indent="1"/>
    </xf>
    <xf numFmtId="49" fontId="8" fillId="0" borderId="0" xfId="0" applyNumberFormat="1" applyFont="1" applyFill="1" applyBorder="1" applyAlignment="1">
      <alignment horizontal="left"/>
    </xf>
    <xf numFmtId="49" fontId="2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left"/>
    </xf>
    <xf numFmtId="165" fontId="1" fillId="0" borderId="0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left"/>
    </xf>
    <xf numFmtId="0" fontId="0" fillId="0" borderId="12" xfId="0" applyNumberFormat="1" applyFont="1" applyFill="1" applyBorder="1" applyAlignment="1">
      <alignment horizontal="left"/>
    </xf>
    <xf numFmtId="49" fontId="0" fillId="0" borderId="1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2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left"/>
    </xf>
    <xf numFmtId="49" fontId="6" fillId="0" borderId="8" xfId="0" applyNumberFormat="1" applyFont="1" applyFill="1" applyBorder="1" applyAlignment="1">
      <alignment horizontal="center"/>
    </xf>
    <xf numFmtId="49" fontId="0" fillId="0" borderId="8" xfId="0" applyNumberFormat="1" applyFont="1" applyFill="1" applyBorder="1" applyAlignment="1">
      <alignment horizontal="center"/>
    </xf>
    <xf numFmtId="0" fontId="1" fillId="0" borderId="8" xfId="0" applyNumberFormat="1" applyFont="1" applyFill="1" applyBorder="1" applyAlignment="1">
      <alignment horizontal="left"/>
    </xf>
    <xf numFmtId="0" fontId="1" fillId="0" borderId="8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left"/>
    </xf>
    <xf numFmtId="0" fontId="0" fillId="0" borderId="13" xfId="0" applyNumberFormat="1" applyFont="1" applyFill="1" applyBorder="1" applyAlignment="1">
      <alignment horizontal="left"/>
    </xf>
    <xf numFmtId="49" fontId="6" fillId="0" borderId="13" xfId="0" applyNumberFormat="1" applyFont="1" applyFill="1" applyBorder="1" applyAlignment="1">
      <alignment horizontal="center"/>
    </xf>
    <xf numFmtId="49" fontId="0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23.6640625" style="4" bestFit="1" customWidth="1"/>
    <col min="7" max="9" width="5.5546875" style="3" customWidth="1"/>
    <col min="10" max="10" width="4.5546875" style="3" customWidth="1"/>
    <col min="11" max="11" width="7.6640625" style="7" bestFit="1" customWidth="1"/>
    <col min="12" max="12" width="6.5546875" style="8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4" t="s">
        <v>386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387</v>
      </c>
      <c r="H3" s="17"/>
      <c r="I3" s="17"/>
      <c r="J3" s="17"/>
      <c r="K3" s="10" t="s">
        <v>207</v>
      </c>
      <c r="L3" s="10" t="s">
        <v>3</v>
      </c>
      <c r="M3" s="22" t="s">
        <v>2</v>
      </c>
    </row>
    <row r="4" spans="1:13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11"/>
      <c r="L4" s="11"/>
      <c r="M4" s="23"/>
    </row>
    <row r="5" spans="1:13" ht="15.6" x14ac:dyDescent="0.3">
      <c r="A5" s="25" t="s">
        <v>388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x14ac:dyDescent="0.25">
      <c r="A6" s="27" t="s">
        <v>390</v>
      </c>
      <c r="B6" s="27" t="s">
        <v>391</v>
      </c>
      <c r="C6" s="27" t="s">
        <v>392</v>
      </c>
      <c r="D6" s="28" t="str">
        <f>"0,0000"</f>
        <v>0,0000</v>
      </c>
      <c r="E6" s="27" t="s">
        <v>19</v>
      </c>
      <c r="F6" s="27" t="s">
        <v>393</v>
      </c>
      <c r="G6" s="29" t="s">
        <v>39</v>
      </c>
      <c r="H6" s="29" t="s">
        <v>42</v>
      </c>
      <c r="I6" s="30" t="s">
        <v>54</v>
      </c>
      <c r="J6" s="30"/>
      <c r="K6" s="31" t="str">
        <f>"130,00"</f>
        <v>130,00</v>
      </c>
      <c r="L6" s="32" t="str">
        <f>"0,0000"</f>
        <v>0,0000</v>
      </c>
      <c r="M6" s="27" t="s">
        <v>28</v>
      </c>
    </row>
    <row r="8" spans="1:13" ht="15" x14ac:dyDescent="0.25">
      <c r="E8" s="35" t="s">
        <v>70</v>
      </c>
    </row>
    <row r="9" spans="1:13" ht="15" x14ac:dyDescent="0.25">
      <c r="E9" s="35" t="s">
        <v>71</v>
      </c>
    </row>
    <row r="10" spans="1:13" ht="15" x14ac:dyDescent="0.25">
      <c r="E10" s="35" t="s">
        <v>72</v>
      </c>
    </row>
    <row r="11" spans="1:13" ht="15" x14ac:dyDescent="0.25">
      <c r="E11" s="35" t="s">
        <v>73</v>
      </c>
    </row>
    <row r="12" spans="1:13" ht="15" x14ac:dyDescent="0.25">
      <c r="E12" s="35" t="s">
        <v>73</v>
      </c>
    </row>
    <row r="13" spans="1:13" ht="15" x14ac:dyDescent="0.25">
      <c r="E13" s="35" t="s">
        <v>74</v>
      </c>
    </row>
    <row r="14" spans="1:13" ht="15" x14ac:dyDescent="0.25">
      <c r="E14" s="35"/>
    </row>
    <row r="16" spans="1:13" ht="17.399999999999999" x14ac:dyDescent="0.3">
      <c r="A16" s="36" t="s">
        <v>75</v>
      </c>
      <c r="B16" s="36"/>
    </row>
    <row r="17" spans="1:5" ht="15.6" x14ac:dyDescent="0.3">
      <c r="A17" s="37" t="s">
        <v>76</v>
      </c>
      <c r="B17" s="37"/>
    </row>
    <row r="18" spans="1:5" ht="14.4" x14ac:dyDescent="0.3">
      <c r="A18" s="39"/>
      <c r="B18" s="40" t="s">
        <v>394</v>
      </c>
    </row>
    <row r="19" spans="1:5" ht="13.8" x14ac:dyDescent="0.25">
      <c r="A19" s="41" t="s">
        <v>78</v>
      </c>
      <c r="B19" s="41" t="s">
        <v>79</v>
      </c>
      <c r="C19" s="41" t="s">
        <v>80</v>
      </c>
      <c r="D19" s="42" t="s">
        <v>217</v>
      </c>
      <c r="E19" s="41" t="s">
        <v>82</v>
      </c>
    </row>
    <row r="20" spans="1:5" x14ac:dyDescent="0.25">
      <c r="A20" s="38" t="s">
        <v>389</v>
      </c>
      <c r="B20" s="4" t="s">
        <v>394</v>
      </c>
      <c r="C20" s="4" t="s">
        <v>395</v>
      </c>
      <c r="D20" s="43">
        <v>130</v>
      </c>
      <c r="E20" s="44">
        <v>0</v>
      </c>
    </row>
  </sheetData>
  <mergeCells count="12">
    <mergeCell ref="F3:F4"/>
    <mergeCell ref="G3:J3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5" bestFit="1" customWidth="1"/>
    <col min="5" max="6" width="21.77734375" style="4" bestFit="1" customWidth="1"/>
    <col min="7" max="9" width="5.5546875" style="3" customWidth="1"/>
    <col min="10" max="10" width="4.5546875" style="3" customWidth="1"/>
    <col min="11" max="11" width="7.6640625" style="7" bestFit="1" customWidth="1"/>
    <col min="12" max="12" width="8.5546875" style="8" bestFit="1" customWidth="1"/>
    <col min="13" max="13" width="14" style="4" bestFit="1" customWidth="1"/>
    <col min="14" max="16384" width="9.109375" style="3"/>
  </cols>
  <sheetData>
    <row r="1" spans="1:13" s="2" customFormat="1" ht="28.95" customHeight="1" x14ac:dyDescent="0.25">
      <c r="A1" s="24" t="s">
        <v>301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13</v>
      </c>
      <c r="H3" s="17"/>
      <c r="I3" s="17"/>
      <c r="J3" s="17"/>
      <c r="K3" s="10" t="s">
        <v>207</v>
      </c>
      <c r="L3" s="10" t="s">
        <v>3</v>
      </c>
      <c r="M3" s="22" t="s">
        <v>2</v>
      </c>
    </row>
    <row r="4" spans="1:13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11"/>
      <c r="L4" s="11"/>
      <c r="M4" s="23"/>
    </row>
    <row r="5" spans="1:13" ht="15.6" x14ac:dyDescent="0.3">
      <c r="A5" s="25" t="s">
        <v>177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x14ac:dyDescent="0.25">
      <c r="A6" s="27" t="s">
        <v>303</v>
      </c>
      <c r="B6" s="27" t="s">
        <v>304</v>
      </c>
      <c r="C6" s="27" t="s">
        <v>305</v>
      </c>
      <c r="D6" s="28" t="str">
        <f>"0,9903"</f>
        <v>0,9903</v>
      </c>
      <c r="E6" s="27" t="s">
        <v>19</v>
      </c>
      <c r="F6" s="27" t="s">
        <v>50</v>
      </c>
      <c r="G6" s="30" t="s">
        <v>27</v>
      </c>
      <c r="H6" s="29" t="s">
        <v>27</v>
      </c>
      <c r="I6" s="29" t="s">
        <v>148</v>
      </c>
      <c r="J6" s="30"/>
      <c r="K6" s="31" t="str">
        <f>"85,0"</f>
        <v>85,0</v>
      </c>
      <c r="L6" s="32" t="str">
        <f>"84,1755"</f>
        <v>84,1755</v>
      </c>
      <c r="M6" s="27" t="s">
        <v>28</v>
      </c>
    </row>
    <row r="8" spans="1:13" ht="15.6" x14ac:dyDescent="0.3">
      <c r="A8" s="33" t="s">
        <v>112</v>
      </c>
      <c r="B8" s="34"/>
      <c r="C8" s="34"/>
      <c r="D8" s="34"/>
      <c r="E8" s="34"/>
      <c r="F8" s="34"/>
      <c r="G8" s="34"/>
      <c r="H8" s="34"/>
      <c r="I8" s="34"/>
      <c r="J8" s="34"/>
    </row>
    <row r="9" spans="1:13" x14ac:dyDescent="0.25">
      <c r="A9" s="27" t="s">
        <v>307</v>
      </c>
      <c r="B9" s="27" t="s">
        <v>308</v>
      </c>
      <c r="C9" s="27" t="s">
        <v>309</v>
      </c>
      <c r="D9" s="28" t="str">
        <f>"0,9746"</f>
        <v>0,9746</v>
      </c>
      <c r="E9" s="27" t="s">
        <v>175</v>
      </c>
      <c r="F9" s="27" t="s">
        <v>50</v>
      </c>
      <c r="G9" s="29" t="s">
        <v>127</v>
      </c>
      <c r="H9" s="29" t="s">
        <v>40</v>
      </c>
      <c r="I9" s="30" t="s">
        <v>129</v>
      </c>
      <c r="J9" s="30"/>
      <c r="K9" s="31" t="str">
        <f>"125,0"</f>
        <v>125,0</v>
      </c>
      <c r="L9" s="32" t="str">
        <f>"121,8250"</f>
        <v>121,8250</v>
      </c>
      <c r="M9" s="27" t="s">
        <v>256</v>
      </c>
    </row>
    <row r="11" spans="1:13" ht="15" x14ac:dyDescent="0.25">
      <c r="E11" s="35" t="s">
        <v>70</v>
      </c>
    </row>
    <row r="12" spans="1:13" ht="15" x14ac:dyDescent="0.25">
      <c r="E12" s="35" t="s">
        <v>71</v>
      </c>
    </row>
    <row r="13" spans="1:13" ht="15" x14ac:dyDescent="0.25">
      <c r="E13" s="35" t="s">
        <v>72</v>
      </c>
    </row>
    <row r="14" spans="1:13" ht="15" x14ac:dyDescent="0.25">
      <c r="E14" s="35" t="s">
        <v>73</v>
      </c>
    </row>
    <row r="15" spans="1:13" ht="15" x14ac:dyDescent="0.25">
      <c r="E15" s="35" t="s">
        <v>73</v>
      </c>
    </row>
    <row r="16" spans="1:13" ht="15" x14ac:dyDescent="0.25">
      <c r="E16" s="35" t="s">
        <v>74</v>
      </c>
    </row>
    <row r="17" spans="1:5" ht="15" x14ac:dyDescent="0.25">
      <c r="E17" s="35"/>
    </row>
    <row r="19" spans="1:5" ht="17.399999999999999" x14ac:dyDescent="0.3">
      <c r="A19" s="36" t="s">
        <v>75</v>
      </c>
      <c r="B19" s="36"/>
    </row>
    <row r="20" spans="1:5" ht="15.6" x14ac:dyDescent="0.3">
      <c r="A20" s="37" t="s">
        <v>163</v>
      </c>
      <c r="B20" s="37"/>
    </row>
    <row r="21" spans="1:5" ht="14.4" x14ac:dyDescent="0.3">
      <c r="A21" s="39"/>
      <c r="B21" s="40" t="s">
        <v>85</v>
      </c>
    </row>
    <row r="22" spans="1:5" ht="13.8" x14ac:dyDescent="0.25">
      <c r="A22" s="41" t="s">
        <v>78</v>
      </c>
      <c r="B22" s="41" t="s">
        <v>79</v>
      </c>
      <c r="C22" s="41" t="s">
        <v>80</v>
      </c>
      <c r="D22" s="42" t="s">
        <v>217</v>
      </c>
      <c r="E22" s="41" t="s">
        <v>82</v>
      </c>
    </row>
    <row r="23" spans="1:5" x14ac:dyDescent="0.25">
      <c r="A23" s="38" t="s">
        <v>306</v>
      </c>
      <c r="B23" s="4" t="s">
        <v>85</v>
      </c>
      <c r="C23" s="4" t="s">
        <v>166</v>
      </c>
      <c r="D23" s="43">
        <v>125</v>
      </c>
      <c r="E23" s="44">
        <v>121.825002133846</v>
      </c>
    </row>
    <row r="24" spans="1:5" x14ac:dyDescent="0.25">
      <c r="A24" s="38" t="s">
        <v>302</v>
      </c>
      <c r="B24" s="4" t="s">
        <v>85</v>
      </c>
      <c r="C24" s="4" t="s">
        <v>206</v>
      </c>
      <c r="D24" s="43">
        <v>85</v>
      </c>
      <c r="E24" s="44">
        <v>84.175499975681305</v>
      </c>
    </row>
  </sheetData>
  <mergeCells count="13">
    <mergeCell ref="A8:J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32" style="4" bestFit="1" customWidth="1"/>
    <col min="7" max="9" width="5.5546875" style="3" customWidth="1"/>
    <col min="10" max="10" width="4.5546875" style="3" customWidth="1"/>
    <col min="11" max="11" width="7.6640625" style="7" bestFit="1" customWidth="1"/>
    <col min="12" max="12" width="8.5546875" style="8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4" t="s">
        <v>292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12</v>
      </c>
      <c r="H3" s="17"/>
      <c r="I3" s="17"/>
      <c r="J3" s="17"/>
      <c r="K3" s="10" t="s">
        <v>207</v>
      </c>
      <c r="L3" s="10" t="s">
        <v>3</v>
      </c>
      <c r="M3" s="22" t="s">
        <v>2</v>
      </c>
    </row>
    <row r="4" spans="1:13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11"/>
      <c r="L4" s="11"/>
      <c r="M4" s="23"/>
    </row>
    <row r="5" spans="1:13" ht="15.6" x14ac:dyDescent="0.3">
      <c r="A5" s="25" t="s">
        <v>90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x14ac:dyDescent="0.25">
      <c r="A6" s="45" t="s">
        <v>294</v>
      </c>
      <c r="B6" s="45" t="s">
        <v>295</v>
      </c>
      <c r="C6" s="45" t="s">
        <v>296</v>
      </c>
      <c r="D6" s="46" t="str">
        <f>"0,5694"</f>
        <v>0,5694</v>
      </c>
      <c r="E6" s="45" t="s">
        <v>34</v>
      </c>
      <c r="F6" s="45" t="s">
        <v>35</v>
      </c>
      <c r="G6" s="47" t="s">
        <v>96</v>
      </c>
      <c r="H6" s="48" t="s">
        <v>297</v>
      </c>
      <c r="I6" s="48" t="s">
        <v>298</v>
      </c>
      <c r="J6" s="48"/>
      <c r="K6" s="49" t="str">
        <f>"200,0"</f>
        <v>200,0</v>
      </c>
      <c r="L6" s="50" t="str">
        <f>"113,8800"</f>
        <v>113,8800</v>
      </c>
      <c r="M6" s="45" t="s">
        <v>28</v>
      </c>
    </row>
    <row r="7" spans="1:13" x14ac:dyDescent="0.25">
      <c r="A7" s="51" t="s">
        <v>294</v>
      </c>
      <c r="B7" s="51" t="s">
        <v>299</v>
      </c>
      <c r="C7" s="51" t="s">
        <v>296</v>
      </c>
      <c r="D7" s="52" t="str">
        <f>"0,5694"</f>
        <v>0,5694</v>
      </c>
      <c r="E7" s="51" t="s">
        <v>34</v>
      </c>
      <c r="F7" s="51" t="s">
        <v>35</v>
      </c>
      <c r="G7" s="54" t="s">
        <v>96</v>
      </c>
      <c r="H7" s="53" t="s">
        <v>297</v>
      </c>
      <c r="I7" s="53" t="s">
        <v>298</v>
      </c>
      <c r="J7" s="53"/>
      <c r="K7" s="55" t="str">
        <f>"200,0"</f>
        <v>200,0</v>
      </c>
      <c r="L7" s="56" t="str">
        <f>"147,0191"</f>
        <v>147,0191</v>
      </c>
      <c r="M7" s="51" t="s">
        <v>28</v>
      </c>
    </row>
    <row r="9" spans="1:13" ht="15" x14ac:dyDescent="0.25">
      <c r="E9" s="35" t="s">
        <v>70</v>
      </c>
    </row>
    <row r="10" spans="1:13" ht="15" x14ac:dyDescent="0.25">
      <c r="E10" s="35" t="s">
        <v>71</v>
      </c>
    </row>
    <row r="11" spans="1:13" ht="15" x14ac:dyDescent="0.25">
      <c r="E11" s="35" t="s">
        <v>72</v>
      </c>
    </row>
    <row r="12" spans="1:13" ht="15" x14ac:dyDescent="0.25">
      <c r="E12" s="35" t="s">
        <v>73</v>
      </c>
    </row>
    <row r="13" spans="1:13" ht="15" x14ac:dyDescent="0.25">
      <c r="E13" s="35" t="s">
        <v>73</v>
      </c>
    </row>
    <row r="14" spans="1:13" ht="15" x14ac:dyDescent="0.25">
      <c r="E14" s="35" t="s">
        <v>74</v>
      </c>
    </row>
    <row r="15" spans="1:13" ht="15" x14ac:dyDescent="0.25">
      <c r="E15" s="35"/>
    </row>
    <row r="17" spans="1:5" ht="17.399999999999999" x14ac:dyDescent="0.3">
      <c r="A17" s="36" t="s">
        <v>75</v>
      </c>
      <c r="B17" s="36"/>
    </row>
    <row r="18" spans="1:5" ht="15.6" x14ac:dyDescent="0.3">
      <c r="A18" s="37" t="s">
        <v>76</v>
      </c>
      <c r="B18" s="37"/>
    </row>
    <row r="19" spans="1:5" ht="14.4" x14ac:dyDescent="0.3">
      <c r="A19" s="39"/>
      <c r="B19" s="40" t="s">
        <v>85</v>
      </c>
    </row>
    <row r="20" spans="1:5" ht="13.8" x14ac:dyDescent="0.25">
      <c r="A20" s="41" t="s">
        <v>78</v>
      </c>
      <c r="B20" s="41" t="s">
        <v>79</v>
      </c>
      <c r="C20" s="41" t="s">
        <v>80</v>
      </c>
      <c r="D20" s="42" t="s">
        <v>217</v>
      </c>
      <c r="E20" s="41" t="s">
        <v>82</v>
      </c>
    </row>
    <row r="21" spans="1:5" x14ac:dyDescent="0.25">
      <c r="A21" s="38" t="s">
        <v>293</v>
      </c>
      <c r="B21" s="4" t="s">
        <v>85</v>
      </c>
      <c r="C21" s="4" t="s">
        <v>100</v>
      </c>
      <c r="D21" s="43">
        <v>200</v>
      </c>
      <c r="E21" s="44">
        <v>113.88000249862699</v>
      </c>
    </row>
    <row r="23" spans="1:5" ht="14.4" x14ac:dyDescent="0.3">
      <c r="A23" s="39"/>
      <c r="B23" s="40" t="s">
        <v>288</v>
      </c>
    </row>
    <row r="24" spans="1:5" ht="13.8" x14ac:dyDescent="0.25">
      <c r="A24" s="41" t="s">
        <v>78</v>
      </c>
      <c r="B24" s="41" t="s">
        <v>79</v>
      </c>
      <c r="C24" s="41" t="s">
        <v>80</v>
      </c>
      <c r="D24" s="42" t="s">
        <v>217</v>
      </c>
      <c r="E24" s="41" t="s">
        <v>82</v>
      </c>
    </row>
    <row r="25" spans="1:5" x14ac:dyDescent="0.25">
      <c r="A25" s="38" t="s">
        <v>293</v>
      </c>
      <c r="B25" s="4" t="s">
        <v>300</v>
      </c>
      <c r="C25" s="4" t="s">
        <v>100</v>
      </c>
      <c r="D25" s="43">
        <v>200</v>
      </c>
      <c r="E25" s="44">
        <v>147.019083225727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8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.88671875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32" style="4" bestFit="1" customWidth="1"/>
    <col min="7" max="9" width="5.5546875" style="3" customWidth="1"/>
    <col min="10" max="10" width="4.5546875" style="3" customWidth="1"/>
    <col min="11" max="11" width="7.6640625" style="7" bestFit="1" customWidth="1"/>
    <col min="12" max="12" width="8.5546875" style="8" bestFit="1" customWidth="1"/>
    <col min="13" max="13" width="17.33203125" style="4" bestFit="1" customWidth="1"/>
    <col min="14" max="16384" width="9.109375" style="3"/>
  </cols>
  <sheetData>
    <row r="1" spans="1:13" s="2" customFormat="1" ht="28.95" customHeight="1" x14ac:dyDescent="0.25">
      <c r="A1" s="24" t="s">
        <v>219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12</v>
      </c>
      <c r="H3" s="17"/>
      <c r="I3" s="17"/>
      <c r="J3" s="17"/>
      <c r="K3" s="10" t="s">
        <v>207</v>
      </c>
      <c r="L3" s="10" t="s">
        <v>3</v>
      </c>
      <c r="M3" s="22" t="s">
        <v>2</v>
      </c>
    </row>
    <row r="4" spans="1:13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11"/>
      <c r="L4" s="11"/>
      <c r="M4" s="23"/>
    </row>
    <row r="5" spans="1:13" ht="15.6" x14ac:dyDescent="0.3">
      <c r="A5" s="25" t="s">
        <v>177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x14ac:dyDescent="0.25">
      <c r="A6" s="27" t="s">
        <v>221</v>
      </c>
      <c r="B6" s="27" t="s">
        <v>222</v>
      </c>
      <c r="C6" s="27" t="s">
        <v>223</v>
      </c>
      <c r="D6" s="28" t="str">
        <f>"1,0024"</f>
        <v>1,0024</v>
      </c>
      <c r="E6" s="27" t="s">
        <v>214</v>
      </c>
      <c r="F6" s="27" t="s">
        <v>215</v>
      </c>
      <c r="G6" s="29" t="s">
        <v>22</v>
      </c>
      <c r="H6" s="29" t="s">
        <v>26</v>
      </c>
      <c r="I6" s="29" t="s">
        <v>203</v>
      </c>
      <c r="J6" s="30"/>
      <c r="K6" s="31" t="str">
        <f>"67,5"</f>
        <v>67,5</v>
      </c>
      <c r="L6" s="32" t="str">
        <f>"67,6620"</f>
        <v>67,6620</v>
      </c>
      <c r="M6" s="27" t="s">
        <v>28</v>
      </c>
    </row>
    <row r="8" spans="1:13" ht="15.6" x14ac:dyDescent="0.3">
      <c r="A8" s="33" t="s">
        <v>224</v>
      </c>
      <c r="B8" s="34"/>
      <c r="C8" s="34"/>
      <c r="D8" s="34"/>
      <c r="E8" s="34"/>
      <c r="F8" s="34"/>
      <c r="G8" s="34"/>
      <c r="H8" s="34"/>
      <c r="I8" s="34"/>
      <c r="J8" s="34"/>
    </row>
    <row r="9" spans="1:13" x14ac:dyDescent="0.25">
      <c r="A9" s="27" t="s">
        <v>226</v>
      </c>
      <c r="B9" s="27" t="s">
        <v>227</v>
      </c>
      <c r="C9" s="27" t="s">
        <v>228</v>
      </c>
      <c r="D9" s="28" t="str">
        <f>"0,6852"</f>
        <v>0,6852</v>
      </c>
      <c r="E9" s="27" t="s">
        <v>229</v>
      </c>
      <c r="F9" s="27" t="s">
        <v>230</v>
      </c>
      <c r="G9" s="29" t="s">
        <v>182</v>
      </c>
      <c r="H9" s="29" t="s">
        <v>26</v>
      </c>
      <c r="I9" s="30" t="s">
        <v>204</v>
      </c>
      <c r="J9" s="30"/>
      <c r="K9" s="31" t="str">
        <f>"65,0"</f>
        <v>65,0</v>
      </c>
      <c r="L9" s="32" t="str">
        <f>"45,4321"</f>
        <v>45,4321</v>
      </c>
      <c r="M9" s="27" t="s">
        <v>28</v>
      </c>
    </row>
    <row r="11" spans="1:13" ht="15.6" x14ac:dyDescent="0.3">
      <c r="A11" s="33" t="s">
        <v>102</v>
      </c>
      <c r="B11" s="34"/>
      <c r="C11" s="34"/>
      <c r="D11" s="34"/>
      <c r="E11" s="34"/>
      <c r="F11" s="34"/>
      <c r="G11" s="34"/>
      <c r="H11" s="34"/>
      <c r="I11" s="34"/>
      <c r="J11" s="34"/>
    </row>
    <row r="12" spans="1:13" x14ac:dyDescent="0.25">
      <c r="A12" s="27" t="s">
        <v>232</v>
      </c>
      <c r="B12" s="27" t="s">
        <v>233</v>
      </c>
      <c r="C12" s="27" t="s">
        <v>234</v>
      </c>
      <c r="D12" s="28" t="str">
        <f>"0,9096"</f>
        <v>0,9096</v>
      </c>
      <c r="E12" s="27" t="s">
        <v>175</v>
      </c>
      <c r="F12" s="27" t="s">
        <v>50</v>
      </c>
      <c r="G12" s="29" t="s">
        <v>235</v>
      </c>
      <c r="H12" s="29" t="s">
        <v>24</v>
      </c>
      <c r="I12" s="29" t="s">
        <v>236</v>
      </c>
      <c r="J12" s="30"/>
      <c r="K12" s="31" t="str">
        <f>"37,5"</f>
        <v>37,5</v>
      </c>
      <c r="L12" s="32" t="str">
        <f>"34,1081"</f>
        <v>34,1081</v>
      </c>
      <c r="M12" s="27" t="s">
        <v>28</v>
      </c>
    </row>
    <row r="14" spans="1:13" ht="15.6" x14ac:dyDescent="0.3">
      <c r="A14" s="33" t="s">
        <v>112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3" x14ac:dyDescent="0.25">
      <c r="A15" s="45" t="s">
        <v>238</v>
      </c>
      <c r="B15" s="45" t="s">
        <v>239</v>
      </c>
      <c r="C15" s="45" t="s">
        <v>240</v>
      </c>
      <c r="D15" s="46" t="str">
        <f>"0,7722"</f>
        <v>0,7722</v>
      </c>
      <c r="E15" s="45" t="s">
        <v>229</v>
      </c>
      <c r="F15" s="45" t="s">
        <v>230</v>
      </c>
      <c r="G15" s="47" t="s">
        <v>21</v>
      </c>
      <c r="H15" s="48" t="s">
        <v>241</v>
      </c>
      <c r="I15" s="48" t="s">
        <v>241</v>
      </c>
      <c r="J15" s="48"/>
      <c r="K15" s="49" t="str">
        <f>"50,0"</f>
        <v>50,0</v>
      </c>
      <c r="L15" s="50" t="str">
        <f>"38,6125"</f>
        <v>38,6125</v>
      </c>
      <c r="M15" s="45" t="s">
        <v>242</v>
      </c>
    </row>
    <row r="16" spans="1:13" x14ac:dyDescent="0.25">
      <c r="A16" s="57" t="s">
        <v>244</v>
      </c>
      <c r="B16" s="57" t="s">
        <v>245</v>
      </c>
      <c r="C16" s="57" t="s">
        <v>246</v>
      </c>
      <c r="D16" s="58" t="str">
        <f>"0,7660"</f>
        <v>0,7660</v>
      </c>
      <c r="E16" s="57" t="s">
        <v>229</v>
      </c>
      <c r="F16" s="57" t="s">
        <v>230</v>
      </c>
      <c r="G16" s="59" t="s">
        <v>21</v>
      </c>
      <c r="H16" s="60" t="s">
        <v>21</v>
      </c>
      <c r="I16" s="59" t="s">
        <v>241</v>
      </c>
      <c r="J16" s="59"/>
      <c r="K16" s="61" t="str">
        <f>"50,0"</f>
        <v>50,0</v>
      </c>
      <c r="L16" s="62" t="str">
        <f>"38,3000"</f>
        <v>38,3000</v>
      </c>
      <c r="M16" s="57" t="s">
        <v>242</v>
      </c>
    </row>
    <row r="17" spans="1:13" x14ac:dyDescent="0.25">
      <c r="A17" s="57" t="s">
        <v>248</v>
      </c>
      <c r="B17" s="57" t="s">
        <v>249</v>
      </c>
      <c r="C17" s="57" t="s">
        <v>250</v>
      </c>
      <c r="D17" s="58" t="str">
        <f>"0,7743"</f>
        <v>0,7743</v>
      </c>
      <c r="E17" s="57" t="s">
        <v>34</v>
      </c>
      <c r="F17" s="57" t="s">
        <v>35</v>
      </c>
      <c r="G17" s="60" t="s">
        <v>127</v>
      </c>
      <c r="H17" s="59" t="s">
        <v>39</v>
      </c>
      <c r="I17" s="59" t="s">
        <v>40</v>
      </c>
      <c r="J17" s="59"/>
      <c r="K17" s="61" t="str">
        <f>"115,0"</f>
        <v>115,0</v>
      </c>
      <c r="L17" s="62" t="str">
        <f>"89,0445"</f>
        <v>89,0445</v>
      </c>
      <c r="M17" s="57" t="s">
        <v>28</v>
      </c>
    </row>
    <row r="18" spans="1:13" x14ac:dyDescent="0.25">
      <c r="A18" s="51" t="s">
        <v>248</v>
      </c>
      <c r="B18" s="51" t="s">
        <v>251</v>
      </c>
      <c r="C18" s="51" t="s">
        <v>250</v>
      </c>
      <c r="D18" s="52" t="str">
        <f>"0,7743"</f>
        <v>0,7743</v>
      </c>
      <c r="E18" s="51" t="s">
        <v>34</v>
      </c>
      <c r="F18" s="51" t="s">
        <v>35</v>
      </c>
      <c r="G18" s="54" t="s">
        <v>127</v>
      </c>
      <c r="H18" s="53" t="s">
        <v>39</v>
      </c>
      <c r="I18" s="53" t="s">
        <v>40</v>
      </c>
      <c r="J18" s="53"/>
      <c r="K18" s="55" t="str">
        <f>"115,0"</f>
        <v>115,0</v>
      </c>
      <c r="L18" s="56" t="str">
        <f>"89,0445"</f>
        <v>89,0445</v>
      </c>
      <c r="M18" s="51" t="s">
        <v>28</v>
      </c>
    </row>
    <row r="20" spans="1:13" ht="15.6" x14ac:dyDescent="0.3">
      <c r="A20" s="33" t="s">
        <v>130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3" x14ac:dyDescent="0.25">
      <c r="A21" s="45" t="s">
        <v>253</v>
      </c>
      <c r="B21" s="45" t="s">
        <v>254</v>
      </c>
      <c r="C21" s="45" t="s">
        <v>255</v>
      </c>
      <c r="D21" s="46" t="str">
        <f>"0,6962"</f>
        <v>0,6962</v>
      </c>
      <c r="E21" s="45" t="s">
        <v>175</v>
      </c>
      <c r="F21" s="45" t="s">
        <v>50</v>
      </c>
      <c r="G21" s="47" t="s">
        <v>203</v>
      </c>
      <c r="H21" s="47" t="s">
        <v>204</v>
      </c>
      <c r="I21" s="47" t="s">
        <v>155</v>
      </c>
      <c r="J21" s="48"/>
      <c r="K21" s="49" t="str">
        <f>"75,0"</f>
        <v>75,0</v>
      </c>
      <c r="L21" s="50" t="str">
        <f>"52,2113"</f>
        <v>52,2113</v>
      </c>
      <c r="M21" s="45" t="s">
        <v>256</v>
      </c>
    </row>
    <row r="22" spans="1:13" x14ac:dyDescent="0.25">
      <c r="A22" s="51" t="s">
        <v>258</v>
      </c>
      <c r="B22" s="51" t="s">
        <v>259</v>
      </c>
      <c r="C22" s="51" t="s">
        <v>260</v>
      </c>
      <c r="D22" s="52" t="str">
        <f>"0,7012"</f>
        <v>0,7012</v>
      </c>
      <c r="E22" s="51" t="s">
        <v>19</v>
      </c>
      <c r="F22" s="51" t="s">
        <v>50</v>
      </c>
      <c r="G22" s="54" t="s">
        <v>121</v>
      </c>
      <c r="H22" s="54" t="s">
        <v>39</v>
      </c>
      <c r="I22" s="53" t="s">
        <v>122</v>
      </c>
      <c r="J22" s="53"/>
      <c r="K22" s="55" t="str">
        <f>"120,0"</f>
        <v>120,0</v>
      </c>
      <c r="L22" s="56" t="str">
        <f>"84,1380"</f>
        <v>84,1380</v>
      </c>
      <c r="M22" s="51" t="s">
        <v>28</v>
      </c>
    </row>
    <row r="24" spans="1:13" ht="15.6" x14ac:dyDescent="0.3">
      <c r="A24" s="33" t="s">
        <v>29</v>
      </c>
      <c r="B24" s="34"/>
      <c r="C24" s="34"/>
      <c r="D24" s="34"/>
      <c r="E24" s="34"/>
      <c r="F24" s="34"/>
      <c r="G24" s="34"/>
      <c r="H24" s="34"/>
      <c r="I24" s="34"/>
      <c r="J24" s="34"/>
    </row>
    <row r="25" spans="1:13" x14ac:dyDescent="0.25">
      <c r="A25" s="45" t="s">
        <v>262</v>
      </c>
      <c r="B25" s="45" t="s">
        <v>263</v>
      </c>
      <c r="C25" s="45" t="s">
        <v>264</v>
      </c>
      <c r="D25" s="46" t="str">
        <f>"0,6524"</f>
        <v>0,6524</v>
      </c>
      <c r="E25" s="45" t="s">
        <v>19</v>
      </c>
      <c r="F25" s="45" t="s">
        <v>215</v>
      </c>
      <c r="G25" s="47" t="s">
        <v>143</v>
      </c>
      <c r="H25" s="47" t="s">
        <v>54</v>
      </c>
      <c r="I25" s="48" t="s">
        <v>55</v>
      </c>
      <c r="J25" s="48"/>
      <c r="K25" s="49" t="str">
        <f>"140,0"</f>
        <v>140,0</v>
      </c>
      <c r="L25" s="50" t="str">
        <f>"91,3290"</f>
        <v>91,3290</v>
      </c>
      <c r="M25" s="45" t="s">
        <v>28</v>
      </c>
    </row>
    <row r="26" spans="1:13" x14ac:dyDescent="0.25">
      <c r="A26" s="51" t="s">
        <v>266</v>
      </c>
      <c r="B26" s="51" t="s">
        <v>267</v>
      </c>
      <c r="C26" s="51" t="s">
        <v>268</v>
      </c>
      <c r="D26" s="52" t="str">
        <f>"0,6492"</f>
        <v>0,6492</v>
      </c>
      <c r="E26" s="51" t="s">
        <v>229</v>
      </c>
      <c r="F26" s="51" t="s">
        <v>230</v>
      </c>
      <c r="G26" s="54" t="s">
        <v>269</v>
      </c>
      <c r="H26" s="54" t="s">
        <v>108</v>
      </c>
      <c r="I26" s="53" t="s">
        <v>41</v>
      </c>
      <c r="J26" s="53"/>
      <c r="K26" s="55" t="str">
        <f>"112,5"</f>
        <v>112,5</v>
      </c>
      <c r="L26" s="56" t="str">
        <f>"73,0406"</f>
        <v>73,0406</v>
      </c>
      <c r="M26" s="51" t="s">
        <v>28</v>
      </c>
    </row>
    <row r="28" spans="1:13" ht="15.6" x14ac:dyDescent="0.3">
      <c r="A28" s="33" t="s">
        <v>209</v>
      </c>
      <c r="B28" s="34"/>
      <c r="C28" s="34"/>
      <c r="D28" s="34"/>
      <c r="E28" s="34"/>
      <c r="F28" s="34"/>
      <c r="G28" s="34"/>
      <c r="H28" s="34"/>
      <c r="I28" s="34"/>
      <c r="J28" s="34"/>
    </row>
    <row r="29" spans="1:13" x14ac:dyDescent="0.25">
      <c r="A29" s="45" t="s">
        <v>271</v>
      </c>
      <c r="B29" s="45" t="s">
        <v>272</v>
      </c>
      <c r="C29" s="45" t="s">
        <v>273</v>
      </c>
      <c r="D29" s="46" t="str">
        <f>"0,5917"</f>
        <v>0,5917</v>
      </c>
      <c r="E29" s="45" t="s">
        <v>229</v>
      </c>
      <c r="F29" s="45" t="s">
        <v>230</v>
      </c>
      <c r="G29" s="47" t="s">
        <v>108</v>
      </c>
      <c r="H29" s="48" t="s">
        <v>40</v>
      </c>
      <c r="I29" s="48" t="s">
        <v>40</v>
      </c>
      <c r="J29" s="48"/>
      <c r="K29" s="49" t="str">
        <f>"112,5"</f>
        <v>112,5</v>
      </c>
      <c r="L29" s="50" t="str">
        <f>"66,5606"</f>
        <v>66,5606</v>
      </c>
      <c r="M29" s="45" t="s">
        <v>242</v>
      </c>
    </row>
    <row r="30" spans="1:13" x14ac:dyDescent="0.25">
      <c r="A30" s="57" t="s">
        <v>275</v>
      </c>
      <c r="B30" s="57" t="s">
        <v>276</v>
      </c>
      <c r="C30" s="57" t="s">
        <v>277</v>
      </c>
      <c r="D30" s="58" t="str">
        <f>"0,5880"</f>
        <v>0,5880</v>
      </c>
      <c r="E30" s="57" t="s">
        <v>229</v>
      </c>
      <c r="F30" s="57" t="s">
        <v>230</v>
      </c>
      <c r="G30" s="60" t="s">
        <v>188</v>
      </c>
      <c r="H30" s="59" t="s">
        <v>108</v>
      </c>
      <c r="I30" s="59" t="s">
        <v>108</v>
      </c>
      <c r="J30" s="59"/>
      <c r="K30" s="61" t="str">
        <f>"97,5"</f>
        <v>97,5</v>
      </c>
      <c r="L30" s="62" t="str">
        <f>"57,3300"</f>
        <v>57,3300</v>
      </c>
      <c r="M30" s="57" t="s">
        <v>242</v>
      </c>
    </row>
    <row r="31" spans="1:13" x14ac:dyDescent="0.25">
      <c r="A31" s="57" t="s">
        <v>279</v>
      </c>
      <c r="B31" s="57" t="s">
        <v>280</v>
      </c>
      <c r="C31" s="57" t="s">
        <v>281</v>
      </c>
      <c r="D31" s="58" t="str">
        <f>"0,5846"</f>
        <v>0,5846</v>
      </c>
      <c r="E31" s="57" t="s">
        <v>34</v>
      </c>
      <c r="F31" s="57" t="s">
        <v>35</v>
      </c>
      <c r="G31" s="60" t="s">
        <v>51</v>
      </c>
      <c r="H31" s="60" t="s">
        <v>150</v>
      </c>
      <c r="I31" s="59" t="s">
        <v>52</v>
      </c>
      <c r="J31" s="59"/>
      <c r="K31" s="61" t="str">
        <f>"180,0"</f>
        <v>180,0</v>
      </c>
      <c r="L31" s="62" t="str">
        <f>"105,2190"</f>
        <v>105,2190</v>
      </c>
      <c r="M31" s="57" t="s">
        <v>28</v>
      </c>
    </row>
    <row r="32" spans="1:13" x14ac:dyDescent="0.25">
      <c r="A32" s="51" t="s">
        <v>279</v>
      </c>
      <c r="B32" s="51" t="s">
        <v>282</v>
      </c>
      <c r="C32" s="51" t="s">
        <v>281</v>
      </c>
      <c r="D32" s="52" t="str">
        <f>"0,5846"</f>
        <v>0,5846</v>
      </c>
      <c r="E32" s="51" t="s">
        <v>34</v>
      </c>
      <c r="F32" s="51" t="s">
        <v>35</v>
      </c>
      <c r="G32" s="54" t="s">
        <v>51</v>
      </c>
      <c r="H32" s="54" t="s">
        <v>150</v>
      </c>
      <c r="I32" s="53" t="s">
        <v>52</v>
      </c>
      <c r="J32" s="53"/>
      <c r="K32" s="55" t="str">
        <f>"180,0"</f>
        <v>180,0</v>
      </c>
      <c r="L32" s="56" t="str">
        <f>"111,0060"</f>
        <v>111,0060</v>
      </c>
      <c r="M32" s="51" t="s">
        <v>28</v>
      </c>
    </row>
    <row r="34" spans="1:13" ht="15.6" x14ac:dyDescent="0.3">
      <c r="A34" s="33" t="s">
        <v>90</v>
      </c>
      <c r="B34" s="34"/>
      <c r="C34" s="34"/>
      <c r="D34" s="34"/>
      <c r="E34" s="34"/>
      <c r="F34" s="34"/>
      <c r="G34" s="34"/>
      <c r="H34" s="34"/>
      <c r="I34" s="34"/>
      <c r="J34" s="34"/>
    </row>
    <row r="35" spans="1:13" x14ac:dyDescent="0.25">
      <c r="A35" s="27" t="s">
        <v>284</v>
      </c>
      <c r="B35" s="27" t="s">
        <v>285</v>
      </c>
      <c r="C35" s="27" t="s">
        <v>286</v>
      </c>
      <c r="D35" s="28" t="str">
        <f>"0,5659"</f>
        <v>0,5659</v>
      </c>
      <c r="E35" s="27" t="s">
        <v>49</v>
      </c>
      <c r="F35" s="27" t="s">
        <v>50</v>
      </c>
      <c r="G35" s="29" t="s">
        <v>161</v>
      </c>
      <c r="H35" s="29" t="s">
        <v>36</v>
      </c>
      <c r="I35" s="30" t="s">
        <v>287</v>
      </c>
      <c r="J35" s="30"/>
      <c r="K35" s="31" t="str">
        <f>"150,0"</f>
        <v>150,0</v>
      </c>
      <c r="L35" s="32" t="str">
        <f>"86,5903"</f>
        <v>86,5903</v>
      </c>
      <c r="M35" s="27" t="s">
        <v>109</v>
      </c>
    </row>
    <row r="37" spans="1:13" ht="15" x14ac:dyDescent="0.25">
      <c r="E37" s="35" t="s">
        <v>70</v>
      </c>
    </row>
    <row r="38" spans="1:13" ht="15" x14ac:dyDescent="0.25">
      <c r="E38" s="35" t="s">
        <v>71</v>
      </c>
    </row>
    <row r="39" spans="1:13" ht="15" x14ac:dyDescent="0.25">
      <c r="E39" s="35" t="s">
        <v>72</v>
      </c>
    </row>
    <row r="40" spans="1:13" ht="15" x14ac:dyDescent="0.25">
      <c r="E40" s="35" t="s">
        <v>73</v>
      </c>
    </row>
    <row r="41" spans="1:13" ht="15" x14ac:dyDescent="0.25">
      <c r="E41" s="35" t="s">
        <v>73</v>
      </c>
    </row>
    <row r="42" spans="1:13" ht="15" x14ac:dyDescent="0.25">
      <c r="E42" s="35" t="s">
        <v>74</v>
      </c>
    </row>
    <row r="43" spans="1:13" ht="15" x14ac:dyDescent="0.25">
      <c r="E43" s="35"/>
    </row>
    <row r="45" spans="1:13" ht="17.399999999999999" x14ac:dyDescent="0.3">
      <c r="A45" s="36" t="s">
        <v>75</v>
      </c>
      <c r="B45" s="36"/>
    </row>
    <row r="46" spans="1:13" ht="15.6" x14ac:dyDescent="0.3">
      <c r="A46" s="37" t="s">
        <v>163</v>
      </c>
      <c r="B46" s="37"/>
    </row>
    <row r="47" spans="1:13" ht="14.4" x14ac:dyDescent="0.3">
      <c r="A47" s="39"/>
      <c r="B47" s="40" t="s">
        <v>85</v>
      </c>
    </row>
    <row r="48" spans="1:13" ht="13.8" x14ac:dyDescent="0.25">
      <c r="A48" s="41" t="s">
        <v>78</v>
      </c>
      <c r="B48" s="41" t="s">
        <v>79</v>
      </c>
      <c r="C48" s="41" t="s">
        <v>80</v>
      </c>
      <c r="D48" s="42" t="s">
        <v>217</v>
      </c>
      <c r="E48" s="41" t="s">
        <v>82</v>
      </c>
    </row>
    <row r="49" spans="1:5" x14ac:dyDescent="0.25">
      <c r="A49" s="38" t="s">
        <v>220</v>
      </c>
      <c r="B49" s="4" t="s">
        <v>85</v>
      </c>
      <c r="C49" s="4" t="s">
        <v>206</v>
      </c>
      <c r="D49" s="43">
        <v>67.5</v>
      </c>
      <c r="E49" s="44">
        <v>67.662002742290497</v>
      </c>
    </row>
    <row r="51" spans="1:5" ht="14.4" x14ac:dyDescent="0.3">
      <c r="A51" s="39"/>
      <c r="B51" s="40" t="s">
        <v>288</v>
      </c>
    </row>
    <row r="52" spans="1:5" ht="13.8" x14ac:dyDescent="0.25">
      <c r="A52" s="41" t="s">
        <v>78</v>
      </c>
      <c r="B52" s="41" t="s">
        <v>79</v>
      </c>
      <c r="C52" s="41" t="s">
        <v>80</v>
      </c>
      <c r="D52" s="42" t="s">
        <v>217</v>
      </c>
      <c r="E52" s="41" t="s">
        <v>82</v>
      </c>
    </row>
    <row r="53" spans="1:5" x14ac:dyDescent="0.25">
      <c r="A53" s="38" t="s">
        <v>225</v>
      </c>
      <c r="B53" s="4" t="s">
        <v>289</v>
      </c>
      <c r="C53" s="4" t="s">
        <v>290</v>
      </c>
      <c r="D53" s="43">
        <v>65</v>
      </c>
      <c r="E53" s="44">
        <v>45.432073956727997</v>
      </c>
    </row>
    <row r="56" spans="1:5" ht="15.6" x14ac:dyDescent="0.3">
      <c r="A56" s="37" t="s">
        <v>76</v>
      </c>
      <c r="B56" s="37"/>
    </row>
    <row r="57" spans="1:5" ht="14.4" x14ac:dyDescent="0.3">
      <c r="A57" s="39"/>
      <c r="B57" s="40" t="s">
        <v>77</v>
      </c>
    </row>
    <row r="58" spans="1:5" ht="13.8" x14ac:dyDescent="0.25">
      <c r="A58" s="41" t="s">
        <v>78</v>
      </c>
      <c r="B58" s="41" t="s">
        <v>79</v>
      </c>
      <c r="C58" s="41" t="s">
        <v>80</v>
      </c>
      <c r="D58" s="42" t="s">
        <v>217</v>
      </c>
      <c r="E58" s="41" t="s">
        <v>82</v>
      </c>
    </row>
    <row r="59" spans="1:5" x14ac:dyDescent="0.25">
      <c r="A59" s="38" t="s">
        <v>270</v>
      </c>
      <c r="B59" s="4" t="s">
        <v>83</v>
      </c>
      <c r="C59" s="4" t="s">
        <v>218</v>
      </c>
      <c r="D59" s="43">
        <v>112.5</v>
      </c>
      <c r="E59" s="44">
        <v>66.560626029968304</v>
      </c>
    </row>
    <row r="60" spans="1:5" x14ac:dyDescent="0.25">
      <c r="A60" s="38" t="s">
        <v>274</v>
      </c>
      <c r="B60" s="4" t="s">
        <v>169</v>
      </c>
      <c r="C60" s="4" t="s">
        <v>218</v>
      </c>
      <c r="D60" s="43">
        <v>97.5</v>
      </c>
      <c r="E60" s="44">
        <v>57.329999953508398</v>
      </c>
    </row>
    <row r="61" spans="1:5" x14ac:dyDescent="0.25">
      <c r="A61" s="38" t="s">
        <v>252</v>
      </c>
      <c r="B61" s="4" t="s">
        <v>165</v>
      </c>
      <c r="C61" s="4" t="s">
        <v>168</v>
      </c>
      <c r="D61" s="43">
        <v>75</v>
      </c>
      <c r="E61" s="44">
        <v>52.211250364780398</v>
      </c>
    </row>
    <row r="62" spans="1:5" x14ac:dyDescent="0.25">
      <c r="A62" s="38" t="s">
        <v>237</v>
      </c>
      <c r="B62" s="4" t="s">
        <v>83</v>
      </c>
      <c r="C62" s="4" t="s">
        <v>166</v>
      </c>
      <c r="D62" s="43">
        <v>50</v>
      </c>
      <c r="E62" s="44">
        <v>38.612499833107002</v>
      </c>
    </row>
    <row r="63" spans="1:5" x14ac:dyDescent="0.25">
      <c r="A63" s="38" t="s">
        <v>243</v>
      </c>
      <c r="B63" s="4" t="s">
        <v>83</v>
      </c>
      <c r="C63" s="4" t="s">
        <v>166</v>
      </c>
      <c r="D63" s="43">
        <v>50</v>
      </c>
      <c r="E63" s="44">
        <v>38.299998641014099</v>
      </c>
    </row>
    <row r="64" spans="1:5" x14ac:dyDescent="0.25">
      <c r="A64" s="38" t="s">
        <v>231</v>
      </c>
      <c r="B64" s="4" t="s">
        <v>83</v>
      </c>
      <c r="C64" s="4" t="s">
        <v>167</v>
      </c>
      <c r="D64" s="43">
        <v>37.5</v>
      </c>
      <c r="E64" s="44">
        <v>34.108125418424599</v>
      </c>
    </row>
    <row r="66" spans="1:5" ht="14.4" x14ac:dyDescent="0.3">
      <c r="A66" s="39"/>
      <c r="B66" s="40" t="s">
        <v>85</v>
      </c>
    </row>
    <row r="67" spans="1:5" ht="13.8" x14ac:dyDescent="0.25">
      <c r="A67" s="41" t="s">
        <v>78</v>
      </c>
      <c r="B67" s="41" t="s">
        <v>79</v>
      </c>
      <c r="C67" s="41" t="s">
        <v>80</v>
      </c>
      <c r="D67" s="42" t="s">
        <v>217</v>
      </c>
      <c r="E67" s="41" t="s">
        <v>82</v>
      </c>
    </row>
    <row r="68" spans="1:5" x14ac:dyDescent="0.25">
      <c r="A68" s="38" t="s">
        <v>278</v>
      </c>
      <c r="B68" s="4" t="s">
        <v>85</v>
      </c>
      <c r="C68" s="4" t="s">
        <v>218</v>
      </c>
      <c r="D68" s="43">
        <v>180</v>
      </c>
      <c r="E68" s="44">
        <v>105.219004154205</v>
      </c>
    </row>
    <row r="69" spans="1:5" x14ac:dyDescent="0.25">
      <c r="A69" s="38" t="s">
        <v>261</v>
      </c>
      <c r="B69" s="4" t="s">
        <v>85</v>
      </c>
      <c r="C69" s="4" t="s">
        <v>88</v>
      </c>
      <c r="D69" s="43">
        <v>140</v>
      </c>
      <c r="E69" s="44">
        <v>91.329001188278198</v>
      </c>
    </row>
    <row r="70" spans="1:5" x14ac:dyDescent="0.25">
      <c r="A70" s="38" t="s">
        <v>247</v>
      </c>
      <c r="B70" s="4" t="s">
        <v>85</v>
      </c>
      <c r="C70" s="4" t="s">
        <v>166</v>
      </c>
      <c r="D70" s="43">
        <v>115</v>
      </c>
      <c r="E70" s="44">
        <v>89.044497609138503</v>
      </c>
    </row>
    <row r="71" spans="1:5" x14ac:dyDescent="0.25">
      <c r="A71" s="38" t="s">
        <v>257</v>
      </c>
      <c r="B71" s="4" t="s">
        <v>85</v>
      </c>
      <c r="C71" s="4" t="s">
        <v>168</v>
      </c>
      <c r="D71" s="43">
        <v>120</v>
      </c>
      <c r="E71" s="44">
        <v>84.138000011444106</v>
      </c>
    </row>
    <row r="72" spans="1:5" x14ac:dyDescent="0.25">
      <c r="A72" s="38" t="s">
        <v>265</v>
      </c>
      <c r="B72" s="4" t="s">
        <v>85</v>
      </c>
      <c r="C72" s="4" t="s">
        <v>88</v>
      </c>
      <c r="D72" s="43">
        <v>112.5</v>
      </c>
      <c r="E72" s="44">
        <v>73.040621727705002</v>
      </c>
    </row>
    <row r="74" spans="1:5" ht="14.4" x14ac:dyDescent="0.3">
      <c r="A74" s="39"/>
      <c r="B74" s="40" t="s">
        <v>288</v>
      </c>
    </row>
    <row r="75" spans="1:5" ht="13.8" x14ac:dyDescent="0.25">
      <c r="A75" s="41" t="s">
        <v>78</v>
      </c>
      <c r="B75" s="41" t="s">
        <v>79</v>
      </c>
      <c r="C75" s="41" t="s">
        <v>80</v>
      </c>
      <c r="D75" s="42" t="s">
        <v>217</v>
      </c>
      <c r="E75" s="41" t="s">
        <v>82</v>
      </c>
    </row>
    <row r="76" spans="1:5" x14ac:dyDescent="0.25">
      <c r="A76" s="38" t="s">
        <v>278</v>
      </c>
      <c r="B76" s="4" t="s">
        <v>291</v>
      </c>
      <c r="C76" s="4" t="s">
        <v>218</v>
      </c>
      <c r="D76" s="43">
        <v>180</v>
      </c>
      <c r="E76" s="44">
        <v>111.006049382687</v>
      </c>
    </row>
    <row r="77" spans="1:5" x14ac:dyDescent="0.25">
      <c r="A77" s="38" t="s">
        <v>247</v>
      </c>
      <c r="B77" s="4" t="s">
        <v>289</v>
      </c>
      <c r="C77" s="4" t="s">
        <v>166</v>
      </c>
      <c r="D77" s="43">
        <v>115</v>
      </c>
      <c r="E77" s="44">
        <v>89.044497609138503</v>
      </c>
    </row>
    <row r="78" spans="1:5" x14ac:dyDescent="0.25">
      <c r="A78" s="38" t="s">
        <v>283</v>
      </c>
      <c r="B78" s="4" t="s">
        <v>289</v>
      </c>
      <c r="C78" s="4" t="s">
        <v>100</v>
      </c>
      <c r="D78" s="43">
        <v>150</v>
      </c>
      <c r="E78" s="44">
        <v>86.590346395969405</v>
      </c>
    </row>
  </sheetData>
  <mergeCells count="19">
    <mergeCell ref="A34:J34"/>
    <mergeCell ref="A8:J8"/>
    <mergeCell ref="A11:J11"/>
    <mergeCell ref="A14:J14"/>
    <mergeCell ref="A20:J20"/>
    <mergeCell ref="A24:J24"/>
    <mergeCell ref="A28:J28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29.109375" style="4" bestFit="1" customWidth="1"/>
    <col min="7" max="10" width="5.5546875" style="3" customWidth="1"/>
    <col min="11" max="11" width="7.6640625" style="7" bestFit="1" customWidth="1"/>
    <col min="12" max="12" width="8.5546875" style="8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4" t="s">
        <v>208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12</v>
      </c>
      <c r="H3" s="17"/>
      <c r="I3" s="17"/>
      <c r="J3" s="17"/>
      <c r="K3" s="10" t="s">
        <v>207</v>
      </c>
      <c r="L3" s="10" t="s">
        <v>3</v>
      </c>
      <c r="M3" s="22" t="s">
        <v>2</v>
      </c>
    </row>
    <row r="4" spans="1:13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11"/>
      <c r="L4" s="11"/>
      <c r="M4" s="23"/>
    </row>
    <row r="5" spans="1:13" ht="15.6" x14ac:dyDescent="0.3">
      <c r="A5" s="25" t="s">
        <v>209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x14ac:dyDescent="0.25">
      <c r="A6" s="27" t="s">
        <v>211</v>
      </c>
      <c r="B6" s="27" t="s">
        <v>212</v>
      </c>
      <c r="C6" s="27" t="s">
        <v>213</v>
      </c>
      <c r="D6" s="28" t="str">
        <f>"0,5835"</f>
        <v>0,5835</v>
      </c>
      <c r="E6" s="27" t="s">
        <v>214</v>
      </c>
      <c r="F6" s="27" t="s">
        <v>215</v>
      </c>
      <c r="G6" s="29" t="s">
        <v>62</v>
      </c>
      <c r="H6" s="30" t="s">
        <v>216</v>
      </c>
      <c r="I6" s="29" t="s">
        <v>216</v>
      </c>
      <c r="J6" s="30" t="s">
        <v>63</v>
      </c>
      <c r="K6" s="31" t="str">
        <f>"312,5"</f>
        <v>312,5</v>
      </c>
      <c r="L6" s="32" t="str">
        <f>"182,3594"</f>
        <v>182,3594</v>
      </c>
      <c r="M6" s="27" t="s">
        <v>28</v>
      </c>
    </row>
    <row r="8" spans="1:13" ht="15" x14ac:dyDescent="0.25">
      <c r="E8" s="35" t="s">
        <v>70</v>
      </c>
    </row>
    <row r="9" spans="1:13" ht="15" x14ac:dyDescent="0.25">
      <c r="E9" s="35" t="s">
        <v>71</v>
      </c>
    </row>
    <row r="10" spans="1:13" ht="15" x14ac:dyDescent="0.25">
      <c r="E10" s="35" t="s">
        <v>72</v>
      </c>
    </row>
    <row r="11" spans="1:13" ht="15" x14ac:dyDescent="0.25">
      <c r="E11" s="35" t="s">
        <v>73</v>
      </c>
    </row>
    <row r="12" spans="1:13" ht="15" x14ac:dyDescent="0.25">
      <c r="E12" s="35" t="s">
        <v>73</v>
      </c>
    </row>
    <row r="13" spans="1:13" ht="15" x14ac:dyDescent="0.25">
      <c r="E13" s="35" t="s">
        <v>74</v>
      </c>
    </row>
    <row r="14" spans="1:13" ht="15" x14ac:dyDescent="0.25">
      <c r="E14" s="35"/>
    </row>
    <row r="16" spans="1:13" ht="17.399999999999999" x14ac:dyDescent="0.3">
      <c r="A16" s="36" t="s">
        <v>75</v>
      </c>
      <c r="B16" s="36"/>
    </row>
    <row r="17" spans="1:5" ht="15.6" x14ac:dyDescent="0.3">
      <c r="A17" s="37" t="s">
        <v>76</v>
      </c>
      <c r="B17" s="37"/>
    </row>
    <row r="18" spans="1:5" ht="14.4" x14ac:dyDescent="0.3">
      <c r="A18" s="39"/>
      <c r="B18" s="40" t="s">
        <v>85</v>
      </c>
    </row>
    <row r="19" spans="1:5" ht="13.8" x14ac:dyDescent="0.25">
      <c r="A19" s="41" t="s">
        <v>78</v>
      </c>
      <c r="B19" s="41" t="s">
        <v>79</v>
      </c>
      <c r="C19" s="41" t="s">
        <v>80</v>
      </c>
      <c r="D19" s="42" t="s">
        <v>217</v>
      </c>
      <c r="E19" s="41" t="s">
        <v>82</v>
      </c>
    </row>
    <row r="20" spans="1:5" x14ac:dyDescent="0.25">
      <c r="A20" s="38" t="s">
        <v>210</v>
      </c>
      <c r="B20" s="4" t="s">
        <v>85</v>
      </c>
      <c r="C20" s="4" t="s">
        <v>218</v>
      </c>
      <c r="D20" s="43">
        <v>312.5</v>
      </c>
      <c r="E20" s="44">
        <v>182.35936760902399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9" style="4" bestFit="1" customWidth="1"/>
    <col min="3" max="3" width="14.88671875" style="4" bestFit="1" customWidth="1"/>
    <col min="4" max="4" width="8.21875" style="5" bestFit="1" customWidth="1"/>
    <col min="5" max="5" width="21.77734375" style="4" bestFit="1" customWidth="1"/>
    <col min="6" max="6" width="32" style="4" bestFit="1" customWidth="1"/>
    <col min="7" max="9" width="5.5546875" style="3" customWidth="1"/>
    <col min="10" max="12" width="4.5546875" style="3" customWidth="1"/>
    <col min="13" max="13" width="5.5546875" style="3" customWidth="1"/>
    <col min="14" max="14" width="4.5546875" style="3" customWidth="1"/>
    <col min="15" max="18" width="5.5546875" style="3" customWidth="1"/>
    <col min="19" max="19" width="7.6640625" style="7" bestFit="1" customWidth="1"/>
    <col min="20" max="20" width="8.5546875" style="8" bestFit="1" customWidth="1"/>
    <col min="21" max="21" width="12.6640625" style="4" bestFit="1" customWidth="1"/>
    <col min="22" max="16384" width="9.109375" style="3"/>
  </cols>
  <sheetData>
    <row r="1" spans="1:21" s="2" customFormat="1" ht="28.95" customHeight="1" x14ac:dyDescent="0.25">
      <c r="A1" s="24" t="s">
        <v>170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11</v>
      </c>
      <c r="H3" s="17"/>
      <c r="I3" s="17"/>
      <c r="J3" s="17"/>
      <c r="K3" s="17" t="s">
        <v>12</v>
      </c>
      <c r="L3" s="17"/>
      <c r="M3" s="17"/>
      <c r="N3" s="17"/>
      <c r="O3" s="17" t="s">
        <v>13</v>
      </c>
      <c r="P3" s="17"/>
      <c r="Q3" s="17"/>
      <c r="R3" s="17"/>
      <c r="S3" s="10" t="s">
        <v>1</v>
      </c>
      <c r="T3" s="10" t="s">
        <v>3</v>
      </c>
      <c r="U3" s="22" t="s">
        <v>2</v>
      </c>
    </row>
    <row r="4" spans="1:21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11"/>
      <c r="T4" s="11"/>
      <c r="U4" s="23"/>
    </row>
    <row r="5" spans="1:21" ht="15.6" x14ac:dyDescent="0.3">
      <c r="A5" s="25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21" x14ac:dyDescent="0.25">
      <c r="A6" s="27" t="s">
        <v>172</v>
      </c>
      <c r="B6" s="27" t="s">
        <v>173</v>
      </c>
      <c r="C6" s="27" t="s">
        <v>174</v>
      </c>
      <c r="D6" s="28" t="str">
        <f>"1,1076"</f>
        <v>1,1076</v>
      </c>
      <c r="E6" s="27" t="s">
        <v>175</v>
      </c>
      <c r="F6" s="27" t="s">
        <v>50</v>
      </c>
      <c r="G6" s="30" t="s">
        <v>155</v>
      </c>
      <c r="H6" s="29" t="s">
        <v>27</v>
      </c>
      <c r="I6" s="29" t="s">
        <v>176</v>
      </c>
      <c r="J6" s="30"/>
      <c r="K6" s="30" t="s">
        <v>25</v>
      </c>
      <c r="L6" s="29" t="s">
        <v>25</v>
      </c>
      <c r="M6" s="29" t="s">
        <v>142</v>
      </c>
      <c r="N6" s="30"/>
      <c r="O6" s="29" t="s">
        <v>127</v>
      </c>
      <c r="P6" s="29" t="s">
        <v>129</v>
      </c>
      <c r="Q6" s="29" t="s">
        <v>135</v>
      </c>
      <c r="R6" s="30"/>
      <c r="S6" s="31" t="str">
        <f>"267,5"</f>
        <v>267,5</v>
      </c>
      <c r="T6" s="32" t="str">
        <f>"296,2830"</f>
        <v>296,2830</v>
      </c>
      <c r="U6" s="27" t="s">
        <v>28</v>
      </c>
    </row>
    <row r="8" spans="1:21" ht="15.6" x14ac:dyDescent="0.3">
      <c r="A8" s="33" t="s">
        <v>177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 x14ac:dyDescent="0.25">
      <c r="A9" s="45" t="s">
        <v>179</v>
      </c>
      <c r="B9" s="45" t="s">
        <v>180</v>
      </c>
      <c r="C9" s="45" t="s">
        <v>181</v>
      </c>
      <c r="D9" s="46" t="str">
        <f>"1,0079"</f>
        <v>1,0079</v>
      </c>
      <c r="E9" s="45" t="s">
        <v>34</v>
      </c>
      <c r="F9" s="45" t="s">
        <v>35</v>
      </c>
      <c r="G9" s="47" t="s">
        <v>155</v>
      </c>
      <c r="H9" s="47" t="s">
        <v>176</v>
      </c>
      <c r="I9" s="48" t="s">
        <v>148</v>
      </c>
      <c r="J9" s="48"/>
      <c r="K9" s="47" t="s">
        <v>128</v>
      </c>
      <c r="L9" s="47" t="s">
        <v>182</v>
      </c>
      <c r="M9" s="48" t="s">
        <v>22</v>
      </c>
      <c r="N9" s="48"/>
      <c r="O9" s="47" t="s">
        <v>155</v>
      </c>
      <c r="P9" s="47" t="s">
        <v>148</v>
      </c>
      <c r="Q9" s="47" t="s">
        <v>183</v>
      </c>
      <c r="R9" s="48"/>
      <c r="S9" s="49" t="str">
        <f>"235,0"</f>
        <v>235,0</v>
      </c>
      <c r="T9" s="50" t="str">
        <f>"236,8565"</f>
        <v>236,8565</v>
      </c>
      <c r="U9" s="45" t="s">
        <v>28</v>
      </c>
    </row>
    <row r="10" spans="1:21" x14ac:dyDescent="0.25">
      <c r="A10" s="51" t="s">
        <v>185</v>
      </c>
      <c r="B10" s="51" t="s">
        <v>186</v>
      </c>
      <c r="C10" s="51" t="s">
        <v>187</v>
      </c>
      <c r="D10" s="52" t="str">
        <f>"1,0065"</f>
        <v>1,0065</v>
      </c>
      <c r="E10" s="51" t="s">
        <v>34</v>
      </c>
      <c r="F10" s="51" t="s">
        <v>35</v>
      </c>
      <c r="G10" s="54" t="s">
        <v>27</v>
      </c>
      <c r="H10" s="54" t="s">
        <v>148</v>
      </c>
      <c r="I10" s="54" t="s">
        <v>107</v>
      </c>
      <c r="J10" s="53"/>
      <c r="K10" s="54" t="s">
        <v>25</v>
      </c>
      <c r="L10" s="54" t="s">
        <v>142</v>
      </c>
      <c r="M10" s="53" t="s">
        <v>21</v>
      </c>
      <c r="N10" s="53"/>
      <c r="O10" s="54" t="s">
        <v>107</v>
      </c>
      <c r="P10" s="54" t="s">
        <v>188</v>
      </c>
      <c r="Q10" s="54" t="s">
        <v>189</v>
      </c>
      <c r="R10" s="53"/>
      <c r="S10" s="55" t="str">
        <f>"237,5"</f>
        <v>237,5</v>
      </c>
      <c r="T10" s="56" t="str">
        <f>"239,0438"</f>
        <v>239,0438</v>
      </c>
      <c r="U10" s="51" t="s">
        <v>28</v>
      </c>
    </row>
    <row r="12" spans="1:21" ht="15.6" x14ac:dyDescent="0.3">
      <c r="A12" s="33" t="s">
        <v>130</v>
      </c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</row>
    <row r="13" spans="1:21" x14ac:dyDescent="0.25">
      <c r="A13" s="27" t="s">
        <v>191</v>
      </c>
      <c r="B13" s="27" t="s">
        <v>192</v>
      </c>
      <c r="C13" s="27" t="s">
        <v>193</v>
      </c>
      <c r="D13" s="28" t="str">
        <f>"0,6885"</f>
        <v>0,6885</v>
      </c>
      <c r="E13" s="27" t="s">
        <v>34</v>
      </c>
      <c r="F13" s="27" t="s">
        <v>35</v>
      </c>
      <c r="G13" s="29" t="s">
        <v>127</v>
      </c>
      <c r="H13" s="29" t="s">
        <v>39</v>
      </c>
      <c r="I13" s="29" t="s">
        <v>42</v>
      </c>
      <c r="J13" s="30"/>
      <c r="K13" s="29" t="s">
        <v>107</v>
      </c>
      <c r="L13" s="30" t="s">
        <v>183</v>
      </c>
      <c r="M13" s="30" t="s">
        <v>183</v>
      </c>
      <c r="N13" s="30"/>
      <c r="O13" s="29" t="s">
        <v>39</v>
      </c>
      <c r="P13" s="29" t="s">
        <v>42</v>
      </c>
      <c r="Q13" s="29" t="s">
        <v>129</v>
      </c>
      <c r="R13" s="30"/>
      <c r="S13" s="31" t="str">
        <f>"355,0"</f>
        <v>355,0</v>
      </c>
      <c r="T13" s="32" t="str">
        <f>"244,4352"</f>
        <v>244,4352</v>
      </c>
      <c r="U13" s="27" t="s">
        <v>28</v>
      </c>
    </row>
    <row r="15" spans="1:21" ht="15.6" x14ac:dyDescent="0.3">
      <c r="A15" s="33" t="s">
        <v>29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</row>
    <row r="16" spans="1:21" x14ac:dyDescent="0.25">
      <c r="A16" s="27" t="s">
        <v>195</v>
      </c>
      <c r="B16" s="27" t="s">
        <v>196</v>
      </c>
      <c r="C16" s="27" t="s">
        <v>197</v>
      </c>
      <c r="D16" s="28" t="str">
        <f>"0,6612"</f>
        <v>0,6612</v>
      </c>
      <c r="E16" s="27" t="s">
        <v>49</v>
      </c>
      <c r="F16" s="27" t="s">
        <v>50</v>
      </c>
      <c r="G16" s="29" t="s">
        <v>198</v>
      </c>
      <c r="H16" s="29" t="s">
        <v>127</v>
      </c>
      <c r="I16" s="29" t="s">
        <v>40</v>
      </c>
      <c r="J16" s="30"/>
      <c r="K16" s="29" t="s">
        <v>148</v>
      </c>
      <c r="L16" s="29" t="s">
        <v>149</v>
      </c>
      <c r="M16" s="29" t="s">
        <v>189</v>
      </c>
      <c r="N16" s="30"/>
      <c r="O16" s="29" t="s">
        <v>39</v>
      </c>
      <c r="P16" s="29" t="s">
        <v>143</v>
      </c>
      <c r="Q16" s="29" t="s">
        <v>54</v>
      </c>
      <c r="R16" s="30"/>
      <c r="S16" s="31" t="str">
        <f>"365,0"</f>
        <v>365,0</v>
      </c>
      <c r="T16" s="32" t="str">
        <f>"241,3380"</f>
        <v>241,3380</v>
      </c>
      <c r="U16" s="27" t="s">
        <v>28</v>
      </c>
    </row>
    <row r="18" spans="1:21" ht="15.6" x14ac:dyDescent="0.3">
      <c r="A18" s="33" t="s">
        <v>90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</row>
    <row r="19" spans="1:21" x14ac:dyDescent="0.25">
      <c r="A19" s="27" t="s">
        <v>200</v>
      </c>
      <c r="B19" s="27" t="s">
        <v>201</v>
      </c>
      <c r="C19" s="27" t="s">
        <v>202</v>
      </c>
      <c r="D19" s="28" t="str">
        <f>"0,5756"</f>
        <v>0,5756</v>
      </c>
      <c r="E19" s="27" t="s">
        <v>49</v>
      </c>
      <c r="F19" s="27" t="s">
        <v>50</v>
      </c>
      <c r="G19" s="29" t="s">
        <v>27</v>
      </c>
      <c r="H19" s="29" t="s">
        <v>107</v>
      </c>
      <c r="I19" s="29" t="s">
        <v>189</v>
      </c>
      <c r="J19" s="30"/>
      <c r="K19" s="29" t="s">
        <v>128</v>
      </c>
      <c r="L19" s="29" t="s">
        <v>203</v>
      </c>
      <c r="M19" s="30" t="s">
        <v>204</v>
      </c>
      <c r="N19" s="30"/>
      <c r="O19" s="29" t="s">
        <v>118</v>
      </c>
      <c r="P19" s="29" t="s">
        <v>188</v>
      </c>
      <c r="Q19" s="29" t="s">
        <v>205</v>
      </c>
      <c r="R19" s="30" t="s">
        <v>121</v>
      </c>
      <c r="S19" s="31" t="str">
        <f>"275,0"</f>
        <v>275,0</v>
      </c>
      <c r="T19" s="32" t="str">
        <f>"158,3037"</f>
        <v>158,3037</v>
      </c>
      <c r="U19" s="27" t="s">
        <v>103</v>
      </c>
    </row>
    <row r="21" spans="1:21" ht="15" x14ac:dyDescent="0.25">
      <c r="E21" s="35" t="s">
        <v>70</v>
      </c>
    </row>
    <row r="22" spans="1:21" ht="15" x14ac:dyDescent="0.25">
      <c r="E22" s="35" t="s">
        <v>71</v>
      </c>
    </row>
    <row r="23" spans="1:21" ht="15" x14ac:dyDescent="0.25">
      <c r="E23" s="35" t="s">
        <v>72</v>
      </c>
    </row>
    <row r="24" spans="1:21" ht="15" x14ac:dyDescent="0.25">
      <c r="E24" s="35" t="s">
        <v>73</v>
      </c>
    </row>
    <row r="25" spans="1:21" ht="15" x14ac:dyDescent="0.25">
      <c r="E25" s="35" t="s">
        <v>73</v>
      </c>
    </row>
    <row r="26" spans="1:21" ht="15" x14ac:dyDescent="0.25">
      <c r="E26" s="35" t="s">
        <v>74</v>
      </c>
    </row>
    <row r="27" spans="1:21" ht="15" x14ac:dyDescent="0.25">
      <c r="E27" s="35"/>
    </row>
    <row r="29" spans="1:21" ht="17.399999999999999" x14ac:dyDescent="0.3">
      <c r="A29" s="36" t="s">
        <v>75</v>
      </c>
      <c r="B29" s="36"/>
    </row>
    <row r="30" spans="1:21" ht="15.6" x14ac:dyDescent="0.3">
      <c r="A30" s="37" t="s">
        <v>163</v>
      </c>
      <c r="B30" s="37"/>
    </row>
    <row r="31" spans="1:21" ht="14.4" x14ac:dyDescent="0.3">
      <c r="A31" s="39"/>
      <c r="B31" s="40" t="s">
        <v>164</v>
      </c>
    </row>
    <row r="32" spans="1:21" ht="13.8" x14ac:dyDescent="0.25">
      <c r="A32" s="41" t="s">
        <v>78</v>
      </c>
      <c r="B32" s="41" t="s">
        <v>79</v>
      </c>
      <c r="C32" s="41" t="s">
        <v>80</v>
      </c>
      <c r="D32" s="42" t="s">
        <v>81</v>
      </c>
      <c r="E32" s="41" t="s">
        <v>82</v>
      </c>
    </row>
    <row r="33" spans="1:5" x14ac:dyDescent="0.25">
      <c r="A33" s="38" t="s">
        <v>184</v>
      </c>
      <c r="B33" s="4" t="s">
        <v>165</v>
      </c>
      <c r="C33" s="4" t="s">
        <v>206</v>
      </c>
      <c r="D33" s="43">
        <v>237.5</v>
      </c>
      <c r="E33" s="44">
        <v>239.04375135898599</v>
      </c>
    </row>
    <row r="34" spans="1:5" x14ac:dyDescent="0.25">
      <c r="A34" s="38" t="s">
        <v>178</v>
      </c>
      <c r="B34" s="4" t="s">
        <v>83</v>
      </c>
      <c r="C34" s="4" t="s">
        <v>206</v>
      </c>
      <c r="D34" s="43">
        <v>235</v>
      </c>
      <c r="E34" s="44">
        <v>236.85649991035501</v>
      </c>
    </row>
    <row r="36" spans="1:5" ht="14.4" x14ac:dyDescent="0.3">
      <c r="A36" s="39"/>
      <c r="B36" s="40" t="s">
        <v>85</v>
      </c>
    </row>
    <row r="37" spans="1:5" ht="13.8" x14ac:dyDescent="0.25">
      <c r="A37" s="41" t="s">
        <v>78</v>
      </c>
      <c r="B37" s="41" t="s">
        <v>79</v>
      </c>
      <c r="C37" s="41" t="s">
        <v>80</v>
      </c>
      <c r="D37" s="42" t="s">
        <v>81</v>
      </c>
      <c r="E37" s="41" t="s">
        <v>82</v>
      </c>
    </row>
    <row r="38" spans="1:5" x14ac:dyDescent="0.25">
      <c r="A38" s="38" t="s">
        <v>171</v>
      </c>
      <c r="B38" s="4" t="s">
        <v>85</v>
      </c>
      <c r="C38" s="4" t="s">
        <v>84</v>
      </c>
      <c r="D38" s="43">
        <v>267.5</v>
      </c>
      <c r="E38" s="44">
        <v>296.28299295902298</v>
      </c>
    </row>
    <row r="41" spans="1:5" ht="15.6" x14ac:dyDescent="0.3">
      <c r="A41" s="37" t="s">
        <v>76</v>
      </c>
      <c r="B41" s="37"/>
    </row>
    <row r="42" spans="1:5" ht="14.4" x14ac:dyDescent="0.3">
      <c r="A42" s="39"/>
      <c r="B42" s="40" t="s">
        <v>77</v>
      </c>
    </row>
    <row r="43" spans="1:5" ht="13.8" x14ac:dyDescent="0.25">
      <c r="A43" s="41" t="s">
        <v>78</v>
      </c>
      <c r="B43" s="41" t="s">
        <v>79</v>
      </c>
      <c r="C43" s="41" t="s">
        <v>80</v>
      </c>
      <c r="D43" s="42" t="s">
        <v>81</v>
      </c>
      <c r="E43" s="41" t="s">
        <v>82</v>
      </c>
    </row>
    <row r="44" spans="1:5" x14ac:dyDescent="0.25">
      <c r="A44" s="38" t="s">
        <v>190</v>
      </c>
      <c r="B44" s="4" t="s">
        <v>165</v>
      </c>
      <c r="C44" s="4" t="s">
        <v>168</v>
      </c>
      <c r="D44" s="43">
        <v>355</v>
      </c>
      <c r="E44" s="44">
        <v>244.43524837493899</v>
      </c>
    </row>
    <row r="45" spans="1:5" x14ac:dyDescent="0.25">
      <c r="A45" s="38" t="s">
        <v>194</v>
      </c>
      <c r="B45" s="4" t="s">
        <v>83</v>
      </c>
      <c r="C45" s="4" t="s">
        <v>88</v>
      </c>
      <c r="D45" s="43">
        <v>365</v>
      </c>
      <c r="E45" s="44">
        <v>241.33799523115201</v>
      </c>
    </row>
    <row r="46" spans="1:5" x14ac:dyDescent="0.25">
      <c r="A46" s="38" t="s">
        <v>199</v>
      </c>
      <c r="B46" s="4" t="s">
        <v>83</v>
      </c>
      <c r="C46" s="4" t="s">
        <v>100</v>
      </c>
      <c r="D46" s="43">
        <v>275</v>
      </c>
      <c r="E46" s="44">
        <v>158.303743600845</v>
      </c>
    </row>
  </sheetData>
  <mergeCells count="18">
    <mergeCell ref="A8:R8"/>
    <mergeCell ref="A12:R12"/>
    <mergeCell ref="A15:R15"/>
    <mergeCell ref="A18:R18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33" style="4" bestFit="1" customWidth="1"/>
    <col min="3" max="3" width="14.88671875" style="4" bestFit="1" customWidth="1"/>
    <col min="4" max="4" width="8.21875" style="5" bestFit="1" customWidth="1"/>
    <col min="5" max="5" width="21.77734375" style="4" bestFit="1" customWidth="1"/>
    <col min="6" max="6" width="23.33203125" style="4" bestFit="1" customWidth="1"/>
    <col min="7" max="9" width="5.5546875" style="3" customWidth="1"/>
    <col min="10" max="10" width="4.5546875" style="3" customWidth="1"/>
    <col min="11" max="13" width="5.5546875" style="3" customWidth="1"/>
    <col min="14" max="14" width="4.5546875" style="3" customWidth="1"/>
    <col min="15" max="17" width="5.5546875" style="3" customWidth="1"/>
    <col min="18" max="18" width="4.5546875" style="3" customWidth="1"/>
    <col min="19" max="19" width="7.6640625" style="7" bestFit="1" customWidth="1"/>
    <col min="20" max="20" width="8.5546875" style="8" bestFit="1" customWidth="1"/>
    <col min="21" max="21" width="16.44140625" style="4" bestFit="1" customWidth="1"/>
    <col min="22" max="16384" width="9.109375" style="3"/>
  </cols>
  <sheetData>
    <row r="1" spans="1:21" s="2" customFormat="1" ht="28.95" customHeight="1" x14ac:dyDescent="0.25">
      <c r="A1" s="24" t="s">
        <v>101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11</v>
      </c>
      <c r="H3" s="17"/>
      <c r="I3" s="17"/>
      <c r="J3" s="17"/>
      <c r="K3" s="17" t="s">
        <v>12</v>
      </c>
      <c r="L3" s="17"/>
      <c r="M3" s="17"/>
      <c r="N3" s="17"/>
      <c r="O3" s="17" t="s">
        <v>13</v>
      </c>
      <c r="P3" s="17"/>
      <c r="Q3" s="17"/>
      <c r="R3" s="17"/>
      <c r="S3" s="10" t="s">
        <v>1</v>
      </c>
      <c r="T3" s="10" t="s">
        <v>3</v>
      </c>
      <c r="U3" s="22" t="s">
        <v>2</v>
      </c>
    </row>
    <row r="4" spans="1:21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11"/>
      <c r="T4" s="11"/>
      <c r="U4" s="23"/>
    </row>
    <row r="5" spans="1:21" ht="15.6" x14ac:dyDescent="0.3">
      <c r="A5" s="25" t="s">
        <v>102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21" x14ac:dyDescent="0.25">
      <c r="A6" s="45" t="s">
        <v>104</v>
      </c>
      <c r="B6" s="45" t="s">
        <v>105</v>
      </c>
      <c r="C6" s="45" t="s">
        <v>106</v>
      </c>
      <c r="D6" s="46" t="str">
        <f>"1,0530"</f>
        <v>1,0530</v>
      </c>
      <c r="E6" s="45" t="s">
        <v>49</v>
      </c>
      <c r="F6" s="45" t="s">
        <v>50</v>
      </c>
      <c r="G6" s="47" t="s">
        <v>27</v>
      </c>
      <c r="H6" s="47" t="s">
        <v>107</v>
      </c>
      <c r="I6" s="48"/>
      <c r="J6" s="48"/>
      <c r="K6" s="47" t="s">
        <v>25</v>
      </c>
      <c r="L6" s="48"/>
      <c r="M6" s="48"/>
      <c r="N6" s="48"/>
      <c r="O6" s="47" t="s">
        <v>108</v>
      </c>
      <c r="P6" s="48" t="s">
        <v>39</v>
      </c>
      <c r="Q6" s="48"/>
      <c r="R6" s="48"/>
      <c r="S6" s="49" t="str">
        <f>"247,5"</f>
        <v>247,5</v>
      </c>
      <c r="T6" s="50" t="str">
        <f>"260,6175"</f>
        <v>260,6175</v>
      </c>
      <c r="U6" s="45" t="s">
        <v>109</v>
      </c>
    </row>
    <row r="7" spans="1:21" x14ac:dyDescent="0.25">
      <c r="A7" s="51" t="s">
        <v>110</v>
      </c>
      <c r="B7" s="51" t="s">
        <v>111</v>
      </c>
      <c r="C7" s="51" t="s">
        <v>106</v>
      </c>
      <c r="D7" s="52" t="str">
        <f>"1,0530"</f>
        <v>1,0530</v>
      </c>
      <c r="E7" s="51" t="s">
        <v>49</v>
      </c>
      <c r="F7" s="51" t="s">
        <v>50</v>
      </c>
      <c r="G7" s="53" t="s">
        <v>27</v>
      </c>
      <c r="H7" s="53"/>
      <c r="I7" s="53"/>
      <c r="J7" s="53"/>
      <c r="K7" s="53" t="s">
        <v>25</v>
      </c>
      <c r="L7" s="53"/>
      <c r="M7" s="53"/>
      <c r="N7" s="53"/>
      <c r="O7" s="54" t="s">
        <v>108</v>
      </c>
      <c r="P7" s="53" t="s">
        <v>39</v>
      </c>
      <c r="Q7" s="53"/>
      <c r="R7" s="53"/>
      <c r="S7" s="55" t="str">
        <f>"0.00"</f>
        <v>0.00</v>
      </c>
      <c r="T7" s="56" t="str">
        <f>"0,0000"</f>
        <v>0,0000</v>
      </c>
      <c r="U7" s="51" t="s">
        <v>109</v>
      </c>
    </row>
    <row r="9" spans="1:21" ht="15.6" x14ac:dyDescent="0.3">
      <c r="A9" s="33" t="s">
        <v>112</v>
      </c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</row>
    <row r="10" spans="1:21" x14ac:dyDescent="0.25">
      <c r="A10" s="45" t="s">
        <v>114</v>
      </c>
      <c r="B10" s="45" t="s">
        <v>115</v>
      </c>
      <c r="C10" s="45" t="s">
        <v>116</v>
      </c>
      <c r="D10" s="46" t="str">
        <f>"0,9373"</f>
        <v>0,9373</v>
      </c>
      <c r="E10" s="45" t="s">
        <v>49</v>
      </c>
      <c r="F10" s="45" t="s">
        <v>50</v>
      </c>
      <c r="G10" s="47" t="s">
        <v>23</v>
      </c>
      <c r="H10" s="47" t="s">
        <v>117</v>
      </c>
      <c r="I10" s="47" t="s">
        <v>118</v>
      </c>
      <c r="J10" s="48"/>
      <c r="K10" s="47" t="s">
        <v>119</v>
      </c>
      <c r="L10" s="47" t="s">
        <v>25</v>
      </c>
      <c r="M10" s="48" t="s">
        <v>21</v>
      </c>
      <c r="N10" s="48"/>
      <c r="O10" s="47" t="s">
        <v>120</v>
      </c>
      <c r="P10" s="47" t="s">
        <v>121</v>
      </c>
      <c r="Q10" s="48" t="s">
        <v>122</v>
      </c>
      <c r="R10" s="48"/>
      <c r="S10" s="49" t="str">
        <f>"250,0"</f>
        <v>250,0</v>
      </c>
      <c r="T10" s="50" t="str">
        <f>"234,3375"</f>
        <v>234,3375</v>
      </c>
      <c r="U10" s="45" t="s">
        <v>103</v>
      </c>
    </row>
    <row r="11" spans="1:21" x14ac:dyDescent="0.25">
      <c r="A11" s="51" t="s">
        <v>124</v>
      </c>
      <c r="B11" s="51" t="s">
        <v>125</v>
      </c>
      <c r="C11" s="51" t="s">
        <v>126</v>
      </c>
      <c r="D11" s="52" t="str">
        <f>"0,9102"</f>
        <v>0,9102</v>
      </c>
      <c r="E11" s="51" t="s">
        <v>19</v>
      </c>
      <c r="F11" s="51" t="s">
        <v>50</v>
      </c>
      <c r="G11" s="54" t="s">
        <v>127</v>
      </c>
      <c r="H11" s="54" t="s">
        <v>39</v>
      </c>
      <c r="I11" s="54" t="s">
        <v>40</v>
      </c>
      <c r="J11" s="53"/>
      <c r="K11" s="54" t="s">
        <v>21</v>
      </c>
      <c r="L11" s="54" t="s">
        <v>128</v>
      </c>
      <c r="M11" s="54" t="s">
        <v>22</v>
      </c>
      <c r="N11" s="53"/>
      <c r="O11" s="54" t="s">
        <v>39</v>
      </c>
      <c r="P11" s="54" t="s">
        <v>41</v>
      </c>
      <c r="Q11" s="54" t="s">
        <v>129</v>
      </c>
      <c r="R11" s="53"/>
      <c r="S11" s="55" t="str">
        <f>"320,0"</f>
        <v>320,0</v>
      </c>
      <c r="T11" s="56" t="str">
        <f>"291,2640"</f>
        <v>291,2640</v>
      </c>
      <c r="U11" s="51" t="s">
        <v>28</v>
      </c>
    </row>
    <row r="13" spans="1:21" ht="15.6" x14ac:dyDescent="0.3">
      <c r="A13" s="33" t="s">
        <v>130</v>
      </c>
      <c r="B13" s="34"/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</row>
    <row r="14" spans="1:21" x14ac:dyDescent="0.25">
      <c r="A14" s="45" t="s">
        <v>132</v>
      </c>
      <c r="B14" s="45" t="s">
        <v>133</v>
      </c>
      <c r="C14" s="45" t="s">
        <v>134</v>
      </c>
      <c r="D14" s="46" t="str">
        <f>"0,8391"</f>
        <v>0,8391</v>
      </c>
      <c r="E14" s="45" t="s">
        <v>19</v>
      </c>
      <c r="F14" s="45" t="s">
        <v>20</v>
      </c>
      <c r="G14" s="48" t="s">
        <v>135</v>
      </c>
      <c r="H14" s="48" t="s">
        <v>135</v>
      </c>
      <c r="I14" s="48" t="s">
        <v>135</v>
      </c>
      <c r="J14" s="48"/>
      <c r="K14" s="48" t="s">
        <v>136</v>
      </c>
      <c r="L14" s="48"/>
      <c r="M14" s="48"/>
      <c r="N14" s="48"/>
      <c r="O14" s="48" t="s">
        <v>135</v>
      </c>
      <c r="P14" s="48"/>
      <c r="Q14" s="48"/>
      <c r="R14" s="48"/>
      <c r="S14" s="49" t="str">
        <f>"0.00"</f>
        <v>0.00</v>
      </c>
      <c r="T14" s="50" t="str">
        <f>"0,0000"</f>
        <v>0,0000</v>
      </c>
      <c r="U14" s="45" t="s">
        <v>28</v>
      </c>
    </row>
    <row r="15" spans="1:21" x14ac:dyDescent="0.25">
      <c r="A15" s="51" t="s">
        <v>138</v>
      </c>
      <c r="B15" s="51" t="s">
        <v>139</v>
      </c>
      <c r="C15" s="51" t="s">
        <v>140</v>
      </c>
      <c r="D15" s="52" t="str">
        <f>"0,8399"</f>
        <v>0,8399</v>
      </c>
      <c r="E15" s="51" t="s">
        <v>49</v>
      </c>
      <c r="F15" s="51" t="s">
        <v>50</v>
      </c>
      <c r="G15" s="54" t="s">
        <v>120</v>
      </c>
      <c r="H15" s="54" t="s">
        <v>121</v>
      </c>
      <c r="I15" s="54" t="s">
        <v>40</v>
      </c>
      <c r="J15" s="53"/>
      <c r="K15" s="54" t="s">
        <v>141</v>
      </c>
      <c r="L15" s="54" t="s">
        <v>142</v>
      </c>
      <c r="M15" s="53" t="s">
        <v>136</v>
      </c>
      <c r="N15" s="53"/>
      <c r="O15" s="54" t="s">
        <v>39</v>
      </c>
      <c r="P15" s="53" t="s">
        <v>143</v>
      </c>
      <c r="Q15" s="53" t="s">
        <v>143</v>
      </c>
      <c r="R15" s="53"/>
      <c r="S15" s="55" t="str">
        <f>"292,5"</f>
        <v>292,5</v>
      </c>
      <c r="T15" s="56" t="str">
        <f>"245,6708"</f>
        <v>245,6708</v>
      </c>
      <c r="U15" s="51" t="s">
        <v>28</v>
      </c>
    </row>
    <row r="17" spans="1:21" ht="15.6" x14ac:dyDescent="0.3">
      <c r="A17" s="33" t="s">
        <v>29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</row>
    <row r="18" spans="1:21" x14ac:dyDescent="0.25">
      <c r="A18" s="27" t="s">
        <v>145</v>
      </c>
      <c r="B18" s="27" t="s">
        <v>146</v>
      </c>
      <c r="C18" s="27" t="s">
        <v>147</v>
      </c>
      <c r="D18" s="28" t="str">
        <f>"0,6540"</f>
        <v>0,6540</v>
      </c>
      <c r="E18" s="27" t="s">
        <v>49</v>
      </c>
      <c r="F18" s="27" t="s">
        <v>50</v>
      </c>
      <c r="G18" s="29" t="s">
        <v>40</v>
      </c>
      <c r="H18" s="30" t="s">
        <v>54</v>
      </c>
      <c r="I18" s="29" t="s">
        <v>54</v>
      </c>
      <c r="J18" s="30"/>
      <c r="K18" s="29" t="s">
        <v>148</v>
      </c>
      <c r="L18" s="29" t="s">
        <v>107</v>
      </c>
      <c r="M18" s="29" t="s">
        <v>149</v>
      </c>
      <c r="N18" s="30"/>
      <c r="O18" s="29" t="s">
        <v>37</v>
      </c>
      <c r="P18" s="29" t="s">
        <v>43</v>
      </c>
      <c r="Q18" s="29" t="s">
        <v>150</v>
      </c>
      <c r="R18" s="30"/>
      <c r="S18" s="31" t="str">
        <f>"412,5"</f>
        <v>412,5</v>
      </c>
      <c r="T18" s="32" t="str">
        <f>"269,7750"</f>
        <v>269,7750</v>
      </c>
      <c r="U18" s="27" t="s">
        <v>103</v>
      </c>
    </row>
    <row r="20" spans="1:21" ht="15.6" x14ac:dyDescent="0.3">
      <c r="A20" s="33" t="s">
        <v>44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</row>
    <row r="21" spans="1:21" x14ac:dyDescent="0.25">
      <c r="A21" s="27" t="s">
        <v>152</v>
      </c>
      <c r="B21" s="27" t="s">
        <v>153</v>
      </c>
      <c r="C21" s="27" t="s">
        <v>154</v>
      </c>
      <c r="D21" s="28" t="str">
        <f>"0,6217"</f>
        <v>0,6217</v>
      </c>
      <c r="E21" s="27" t="s">
        <v>49</v>
      </c>
      <c r="F21" s="27" t="s">
        <v>50</v>
      </c>
      <c r="G21" s="29" t="s">
        <v>40</v>
      </c>
      <c r="H21" s="29" t="s">
        <v>129</v>
      </c>
      <c r="I21" s="29" t="s">
        <v>55</v>
      </c>
      <c r="J21" s="30"/>
      <c r="K21" s="29" t="s">
        <v>155</v>
      </c>
      <c r="L21" s="29" t="s">
        <v>27</v>
      </c>
      <c r="M21" s="30" t="s">
        <v>148</v>
      </c>
      <c r="N21" s="30"/>
      <c r="O21" s="29" t="s">
        <v>129</v>
      </c>
      <c r="P21" s="29" t="s">
        <v>36</v>
      </c>
      <c r="Q21" s="29" t="s">
        <v>37</v>
      </c>
      <c r="R21" s="30"/>
      <c r="S21" s="31" t="str">
        <f>"385,0"</f>
        <v>385,0</v>
      </c>
      <c r="T21" s="32" t="str">
        <f>"239,3737"</f>
        <v>239,3737</v>
      </c>
      <c r="U21" s="27" t="s">
        <v>103</v>
      </c>
    </row>
    <row r="23" spans="1:21" ht="15.6" x14ac:dyDescent="0.3">
      <c r="A23" s="33" t="s">
        <v>90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</row>
    <row r="24" spans="1:21" x14ac:dyDescent="0.25">
      <c r="A24" s="27" t="s">
        <v>157</v>
      </c>
      <c r="B24" s="27" t="s">
        <v>158</v>
      </c>
      <c r="C24" s="27" t="s">
        <v>159</v>
      </c>
      <c r="D24" s="28" t="str">
        <f>"0,5710"</f>
        <v>0,5710</v>
      </c>
      <c r="E24" s="27" t="s">
        <v>19</v>
      </c>
      <c r="F24" s="27" t="s">
        <v>50</v>
      </c>
      <c r="G24" s="29" t="s">
        <v>56</v>
      </c>
      <c r="H24" s="29" t="s">
        <v>66</v>
      </c>
      <c r="I24" s="30" t="s">
        <v>160</v>
      </c>
      <c r="J24" s="30"/>
      <c r="K24" s="29" t="s">
        <v>129</v>
      </c>
      <c r="L24" s="29" t="s">
        <v>161</v>
      </c>
      <c r="M24" s="29" t="s">
        <v>55</v>
      </c>
      <c r="N24" s="30"/>
      <c r="O24" s="29" t="s">
        <v>162</v>
      </c>
      <c r="P24" s="29" t="s">
        <v>56</v>
      </c>
      <c r="Q24" s="30" t="s">
        <v>66</v>
      </c>
      <c r="R24" s="30"/>
      <c r="S24" s="31" t="str">
        <f>"615,0"</f>
        <v>615,0</v>
      </c>
      <c r="T24" s="32" t="str">
        <f>"351,1957"</f>
        <v>351,1957</v>
      </c>
      <c r="U24" s="27" t="s">
        <v>28</v>
      </c>
    </row>
    <row r="26" spans="1:21" ht="15" x14ac:dyDescent="0.25">
      <c r="E26" s="35" t="s">
        <v>70</v>
      </c>
    </row>
    <row r="27" spans="1:21" ht="15" x14ac:dyDescent="0.25">
      <c r="E27" s="35" t="s">
        <v>71</v>
      </c>
    </row>
    <row r="28" spans="1:21" ht="15" x14ac:dyDescent="0.25">
      <c r="E28" s="35" t="s">
        <v>72</v>
      </c>
    </row>
    <row r="29" spans="1:21" ht="15" x14ac:dyDescent="0.25">
      <c r="E29" s="35" t="s">
        <v>73</v>
      </c>
    </row>
    <row r="30" spans="1:21" ht="15" x14ac:dyDescent="0.25">
      <c r="E30" s="35" t="s">
        <v>73</v>
      </c>
    </row>
    <row r="31" spans="1:21" ht="15" x14ac:dyDescent="0.25">
      <c r="E31" s="35" t="s">
        <v>74</v>
      </c>
    </row>
    <row r="32" spans="1:21" ht="15" x14ac:dyDescent="0.25">
      <c r="E32" s="35"/>
    </row>
    <row r="34" spans="1:5" ht="17.399999999999999" x14ac:dyDescent="0.3">
      <c r="A34" s="36" t="s">
        <v>75</v>
      </c>
      <c r="B34" s="36"/>
    </row>
    <row r="35" spans="1:5" ht="15.6" x14ac:dyDescent="0.3">
      <c r="A35" s="37" t="s">
        <v>163</v>
      </c>
      <c r="B35" s="37"/>
    </row>
    <row r="36" spans="1:5" ht="14.4" x14ac:dyDescent="0.3">
      <c r="A36" s="39"/>
      <c r="B36" s="40" t="s">
        <v>164</v>
      </c>
    </row>
    <row r="37" spans="1:5" ht="13.8" x14ac:dyDescent="0.25">
      <c r="A37" s="41" t="s">
        <v>78</v>
      </c>
      <c r="B37" s="41" t="s">
        <v>79</v>
      </c>
      <c r="C37" s="41" t="s">
        <v>80</v>
      </c>
      <c r="D37" s="42" t="s">
        <v>81</v>
      </c>
      <c r="E37" s="41" t="s">
        <v>82</v>
      </c>
    </row>
    <row r="38" spans="1:5" x14ac:dyDescent="0.25">
      <c r="A38" s="38" t="s">
        <v>113</v>
      </c>
      <c r="B38" s="4" t="s">
        <v>165</v>
      </c>
      <c r="C38" s="4" t="s">
        <v>166</v>
      </c>
      <c r="D38" s="43">
        <v>250</v>
      </c>
      <c r="E38" s="44">
        <v>234.337493777275</v>
      </c>
    </row>
    <row r="40" spans="1:5" ht="14.4" x14ac:dyDescent="0.3">
      <c r="A40" s="39"/>
      <c r="B40" s="40" t="s">
        <v>85</v>
      </c>
    </row>
    <row r="41" spans="1:5" ht="13.8" x14ac:dyDescent="0.25">
      <c r="A41" s="41" t="s">
        <v>78</v>
      </c>
      <c r="B41" s="41" t="s">
        <v>79</v>
      </c>
      <c r="C41" s="41" t="s">
        <v>80</v>
      </c>
      <c r="D41" s="42" t="s">
        <v>81</v>
      </c>
      <c r="E41" s="41" t="s">
        <v>82</v>
      </c>
    </row>
    <row r="42" spans="1:5" x14ac:dyDescent="0.25">
      <c r="A42" s="38" t="s">
        <v>123</v>
      </c>
      <c r="B42" s="4" t="s">
        <v>85</v>
      </c>
      <c r="C42" s="4" t="s">
        <v>166</v>
      </c>
      <c r="D42" s="43">
        <v>320</v>
      </c>
      <c r="E42" s="44">
        <v>291.26399993896501</v>
      </c>
    </row>
    <row r="43" spans="1:5" x14ac:dyDescent="0.25">
      <c r="A43" s="38" t="s">
        <v>103</v>
      </c>
      <c r="B43" s="4" t="s">
        <v>85</v>
      </c>
      <c r="C43" s="4" t="s">
        <v>167</v>
      </c>
      <c r="D43" s="43">
        <v>247.5</v>
      </c>
      <c r="E43" s="44">
        <v>260.61749339103699</v>
      </c>
    </row>
    <row r="44" spans="1:5" x14ac:dyDescent="0.25">
      <c r="A44" s="38" t="s">
        <v>137</v>
      </c>
      <c r="B44" s="4" t="s">
        <v>85</v>
      </c>
      <c r="C44" s="4" t="s">
        <v>168</v>
      </c>
      <c r="D44" s="43">
        <v>292.5</v>
      </c>
      <c r="E44" s="44">
        <v>245.67075490951501</v>
      </c>
    </row>
    <row r="47" spans="1:5" ht="15.6" x14ac:dyDescent="0.3">
      <c r="A47" s="37" t="s">
        <v>76</v>
      </c>
      <c r="B47" s="37"/>
    </row>
    <row r="48" spans="1:5" ht="14.4" x14ac:dyDescent="0.3">
      <c r="A48" s="39"/>
      <c r="B48" s="40" t="s">
        <v>77</v>
      </c>
    </row>
    <row r="49" spans="1:5" ht="13.8" x14ac:dyDescent="0.25">
      <c r="A49" s="41" t="s">
        <v>78</v>
      </c>
      <c r="B49" s="41" t="s">
        <v>79</v>
      </c>
      <c r="C49" s="41" t="s">
        <v>80</v>
      </c>
      <c r="D49" s="42" t="s">
        <v>81</v>
      </c>
      <c r="E49" s="41" t="s">
        <v>82</v>
      </c>
    </row>
    <row r="50" spans="1:5" x14ac:dyDescent="0.25">
      <c r="A50" s="38" t="s">
        <v>144</v>
      </c>
      <c r="B50" s="4" t="s">
        <v>169</v>
      </c>
      <c r="C50" s="4" t="s">
        <v>88</v>
      </c>
      <c r="D50" s="43">
        <v>412.5</v>
      </c>
      <c r="E50" s="44">
        <v>269.77499350905401</v>
      </c>
    </row>
    <row r="51" spans="1:5" x14ac:dyDescent="0.25">
      <c r="A51" s="38" t="s">
        <v>151</v>
      </c>
      <c r="B51" s="4" t="s">
        <v>165</v>
      </c>
      <c r="C51" s="4" t="s">
        <v>87</v>
      </c>
      <c r="D51" s="43">
        <v>385</v>
      </c>
      <c r="E51" s="44">
        <v>239.37374889850599</v>
      </c>
    </row>
    <row r="53" spans="1:5" ht="14.4" x14ac:dyDescent="0.3">
      <c r="A53" s="39"/>
      <c r="B53" s="40" t="s">
        <v>85</v>
      </c>
    </row>
    <row r="54" spans="1:5" ht="13.8" x14ac:dyDescent="0.25">
      <c r="A54" s="41" t="s">
        <v>78</v>
      </c>
      <c r="B54" s="41" t="s">
        <v>79</v>
      </c>
      <c r="C54" s="41" t="s">
        <v>80</v>
      </c>
      <c r="D54" s="42" t="s">
        <v>81</v>
      </c>
      <c r="E54" s="41" t="s">
        <v>82</v>
      </c>
    </row>
    <row r="55" spans="1:5" x14ac:dyDescent="0.25">
      <c r="A55" s="38" t="s">
        <v>156</v>
      </c>
      <c r="B55" s="4" t="s">
        <v>85</v>
      </c>
      <c r="C55" s="4" t="s">
        <v>100</v>
      </c>
      <c r="D55" s="43">
        <v>615</v>
      </c>
      <c r="E55" s="44">
        <v>351.19574278593097</v>
      </c>
    </row>
  </sheetData>
  <mergeCells count="19">
    <mergeCell ref="A9:R9"/>
    <mergeCell ref="A13:R13"/>
    <mergeCell ref="A17:R17"/>
    <mergeCell ref="A20:R20"/>
    <mergeCell ref="A23:R23"/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8.21875" style="5" bestFit="1" customWidth="1"/>
    <col min="5" max="5" width="21.77734375" style="4" bestFit="1" customWidth="1"/>
    <col min="6" max="6" width="28.21875" style="4" bestFit="1" customWidth="1"/>
    <col min="7" max="9" width="5.5546875" style="3" customWidth="1"/>
    <col min="10" max="10" width="4.5546875" style="3" customWidth="1"/>
    <col min="11" max="13" width="5.5546875" style="3" customWidth="1"/>
    <col min="14" max="14" width="4.5546875" style="3" customWidth="1"/>
    <col min="15" max="17" width="5.5546875" style="3" customWidth="1"/>
    <col min="18" max="18" width="4.5546875" style="3" customWidth="1"/>
    <col min="19" max="19" width="7.6640625" style="7" bestFit="1" customWidth="1"/>
    <col min="20" max="20" width="8.5546875" style="8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4" t="s">
        <v>89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11</v>
      </c>
      <c r="H3" s="17"/>
      <c r="I3" s="17"/>
      <c r="J3" s="17"/>
      <c r="K3" s="17" t="s">
        <v>12</v>
      </c>
      <c r="L3" s="17"/>
      <c r="M3" s="17"/>
      <c r="N3" s="17"/>
      <c r="O3" s="17" t="s">
        <v>13</v>
      </c>
      <c r="P3" s="17"/>
      <c r="Q3" s="17"/>
      <c r="R3" s="17"/>
      <c r="S3" s="10" t="s">
        <v>1</v>
      </c>
      <c r="T3" s="10" t="s">
        <v>3</v>
      </c>
      <c r="U3" s="22" t="s">
        <v>2</v>
      </c>
    </row>
    <row r="4" spans="1:21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9">
        <v>1</v>
      </c>
      <c r="P4" s="9">
        <v>2</v>
      </c>
      <c r="Q4" s="9">
        <v>3</v>
      </c>
      <c r="R4" s="9" t="s">
        <v>5</v>
      </c>
      <c r="S4" s="11"/>
      <c r="T4" s="11"/>
      <c r="U4" s="23"/>
    </row>
    <row r="5" spans="1:21" ht="15.6" x14ac:dyDescent="0.3">
      <c r="A5" s="25" t="s">
        <v>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21" x14ac:dyDescent="0.25">
      <c r="A6" s="27" t="s">
        <v>92</v>
      </c>
      <c r="B6" s="27" t="s">
        <v>93</v>
      </c>
      <c r="C6" s="27" t="s">
        <v>94</v>
      </c>
      <c r="D6" s="28" t="str">
        <f>"0,5690"</f>
        <v>0,5690</v>
      </c>
      <c r="E6" s="27" t="s">
        <v>19</v>
      </c>
      <c r="F6" s="27" t="s">
        <v>95</v>
      </c>
      <c r="G6" s="29" t="s">
        <v>96</v>
      </c>
      <c r="H6" s="29" t="s">
        <v>64</v>
      </c>
      <c r="I6" s="29" t="s">
        <v>65</v>
      </c>
      <c r="J6" s="30"/>
      <c r="K6" s="29" t="s">
        <v>42</v>
      </c>
      <c r="L6" s="29" t="s">
        <v>54</v>
      </c>
      <c r="M6" s="30" t="s">
        <v>36</v>
      </c>
      <c r="N6" s="30"/>
      <c r="O6" s="29" t="s">
        <v>97</v>
      </c>
      <c r="P6" s="29" t="s">
        <v>98</v>
      </c>
      <c r="Q6" s="29" t="s">
        <v>99</v>
      </c>
      <c r="R6" s="30"/>
      <c r="S6" s="31" t="str">
        <f>"645,0"</f>
        <v>645,0</v>
      </c>
      <c r="T6" s="32" t="str">
        <f>"367,0050"</f>
        <v>367,0050</v>
      </c>
      <c r="U6" s="27" t="s">
        <v>28</v>
      </c>
    </row>
    <row r="8" spans="1:21" ht="15" x14ac:dyDescent="0.25">
      <c r="E8" s="35" t="s">
        <v>70</v>
      </c>
    </row>
    <row r="9" spans="1:21" ht="15" x14ac:dyDescent="0.25">
      <c r="E9" s="35" t="s">
        <v>71</v>
      </c>
    </row>
    <row r="10" spans="1:21" ht="15" x14ac:dyDescent="0.25">
      <c r="E10" s="35" t="s">
        <v>72</v>
      </c>
    </row>
    <row r="11" spans="1:21" ht="15" x14ac:dyDescent="0.25">
      <c r="E11" s="35" t="s">
        <v>73</v>
      </c>
    </row>
    <row r="12" spans="1:21" ht="15" x14ac:dyDescent="0.25">
      <c r="E12" s="35" t="s">
        <v>73</v>
      </c>
    </row>
    <row r="13" spans="1:21" ht="15" x14ac:dyDescent="0.25">
      <c r="E13" s="35" t="s">
        <v>74</v>
      </c>
    </row>
    <row r="14" spans="1:21" ht="15" x14ac:dyDescent="0.25">
      <c r="E14" s="35"/>
    </row>
    <row r="16" spans="1:21" ht="17.399999999999999" x14ac:dyDescent="0.3">
      <c r="A16" s="36" t="s">
        <v>75</v>
      </c>
      <c r="B16" s="36"/>
    </row>
    <row r="17" spans="1:5" ht="15.6" x14ac:dyDescent="0.3">
      <c r="A17" s="37" t="s">
        <v>76</v>
      </c>
      <c r="B17" s="37"/>
    </row>
    <row r="18" spans="1:5" ht="14.4" x14ac:dyDescent="0.3">
      <c r="A18" s="39"/>
      <c r="B18" s="40" t="s">
        <v>85</v>
      </c>
    </row>
    <row r="19" spans="1:5" ht="13.8" x14ac:dyDescent="0.25">
      <c r="A19" s="41" t="s">
        <v>78</v>
      </c>
      <c r="B19" s="41" t="s">
        <v>79</v>
      </c>
      <c r="C19" s="41" t="s">
        <v>80</v>
      </c>
      <c r="D19" s="42" t="s">
        <v>81</v>
      </c>
      <c r="E19" s="41" t="s">
        <v>82</v>
      </c>
    </row>
    <row r="20" spans="1:5" x14ac:dyDescent="0.25">
      <c r="A20" s="38" t="s">
        <v>91</v>
      </c>
      <c r="B20" s="4" t="s">
        <v>85</v>
      </c>
      <c r="C20" s="4" t="s">
        <v>100</v>
      </c>
      <c r="D20" s="43">
        <v>645</v>
      </c>
      <c r="E20" s="44">
        <v>367.00500369072</v>
      </c>
    </row>
  </sheetData>
  <mergeCells count="14">
    <mergeCell ref="S3:S4"/>
    <mergeCell ref="T3:T4"/>
    <mergeCell ref="U3:U4"/>
    <mergeCell ref="A5:R5"/>
    <mergeCell ref="A1:U2"/>
    <mergeCell ref="A3:A4"/>
    <mergeCell ref="B3:B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U35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7.6640625" style="4" bestFit="1" customWidth="1"/>
    <col min="3" max="3" width="14.88671875" style="4" bestFit="1" customWidth="1"/>
    <col min="4" max="4" width="8.21875" style="5" bestFit="1" customWidth="1"/>
    <col min="5" max="5" width="21.77734375" style="4" bestFit="1" customWidth="1"/>
    <col min="6" max="6" width="32" style="4" bestFit="1" customWidth="1"/>
    <col min="7" max="9" width="5.5546875" style="3" customWidth="1"/>
    <col min="10" max="10" width="4.5546875" style="3" customWidth="1"/>
    <col min="11" max="13" width="5.5546875" style="3" customWidth="1"/>
    <col min="14" max="14" width="4.5546875" style="3" customWidth="1"/>
    <col min="15" max="17" width="5.5546875" style="3" customWidth="1"/>
    <col min="18" max="18" width="4.5546875" style="3" customWidth="1"/>
    <col min="19" max="19" width="7.6640625" style="7" bestFit="1" customWidth="1"/>
    <col min="20" max="20" width="8.5546875" style="8" bestFit="1" customWidth="1"/>
    <col min="21" max="21" width="8.33203125" style="4" bestFit="1" customWidth="1"/>
    <col min="22" max="16384" width="9.109375" style="3"/>
  </cols>
  <sheetData>
    <row r="1" spans="1:21" s="2" customFormat="1" ht="28.95" customHeight="1" x14ac:dyDescent="0.25">
      <c r="A1" s="24" t="s">
        <v>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3"/>
    </row>
    <row r="2" spans="1:21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6"/>
    </row>
    <row r="3" spans="1:21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11</v>
      </c>
      <c r="H3" s="17"/>
      <c r="I3" s="17"/>
      <c r="J3" s="17"/>
      <c r="K3" s="17" t="s">
        <v>12</v>
      </c>
      <c r="L3" s="17"/>
      <c r="M3" s="17"/>
      <c r="N3" s="17"/>
      <c r="O3" s="17" t="s">
        <v>13</v>
      </c>
      <c r="P3" s="17"/>
      <c r="Q3" s="17"/>
      <c r="R3" s="17"/>
      <c r="S3" s="10" t="s">
        <v>1</v>
      </c>
      <c r="T3" s="10" t="s">
        <v>3</v>
      </c>
      <c r="U3" s="22" t="s">
        <v>2</v>
      </c>
    </row>
    <row r="4" spans="1:21" s="1" customFormat="1" ht="21" customHeight="1" thickBot="1" x14ac:dyDescent="0.3">
      <c r="A4" s="19"/>
      <c r="B4" s="21"/>
      <c r="C4" s="21"/>
      <c r="D4" s="11"/>
      <c r="E4" s="21"/>
      <c r="F4" s="21"/>
      <c r="G4" s="6">
        <v>1</v>
      </c>
      <c r="H4" s="6">
        <v>2</v>
      </c>
      <c r="I4" s="6">
        <v>3</v>
      </c>
      <c r="J4" s="6" t="s">
        <v>5</v>
      </c>
      <c r="K4" s="6">
        <v>1</v>
      </c>
      <c r="L4" s="6">
        <v>2</v>
      </c>
      <c r="M4" s="6">
        <v>3</v>
      </c>
      <c r="N4" s="6" t="s">
        <v>5</v>
      </c>
      <c r="O4" s="6">
        <v>1</v>
      </c>
      <c r="P4" s="6">
        <v>2</v>
      </c>
      <c r="Q4" s="6">
        <v>3</v>
      </c>
      <c r="R4" s="6" t="s">
        <v>5</v>
      </c>
      <c r="S4" s="11"/>
      <c r="T4" s="11"/>
      <c r="U4" s="23"/>
    </row>
    <row r="5" spans="1:21" ht="15.6" x14ac:dyDescent="0.3">
      <c r="A5" s="25" t="s">
        <v>14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</row>
    <row r="6" spans="1:21" x14ac:dyDescent="0.25">
      <c r="A6" s="27" t="s">
        <v>16</v>
      </c>
      <c r="B6" s="27" t="s">
        <v>17</v>
      </c>
      <c r="C6" s="27" t="s">
        <v>18</v>
      </c>
      <c r="D6" s="28" t="str">
        <f>"1,1784"</f>
        <v>1,1784</v>
      </c>
      <c r="E6" s="27" t="s">
        <v>19</v>
      </c>
      <c r="F6" s="27" t="s">
        <v>20</v>
      </c>
      <c r="G6" s="29" t="s">
        <v>21</v>
      </c>
      <c r="H6" s="29" t="s">
        <v>22</v>
      </c>
      <c r="I6" s="29" t="s">
        <v>23</v>
      </c>
      <c r="J6" s="30"/>
      <c r="K6" s="29" t="s">
        <v>24</v>
      </c>
      <c r="L6" s="29" t="s">
        <v>25</v>
      </c>
      <c r="M6" s="30" t="s">
        <v>21</v>
      </c>
      <c r="N6" s="30"/>
      <c r="O6" s="29" t="s">
        <v>21</v>
      </c>
      <c r="P6" s="29" t="s">
        <v>26</v>
      </c>
      <c r="Q6" s="29" t="s">
        <v>27</v>
      </c>
      <c r="R6" s="30"/>
      <c r="S6" s="31" t="str">
        <f>"195,0"</f>
        <v>195,0</v>
      </c>
      <c r="T6" s="32" t="str">
        <f>"229,7880"</f>
        <v>229,7880</v>
      </c>
      <c r="U6" s="27" t="s">
        <v>28</v>
      </c>
    </row>
    <row r="8" spans="1:21" ht="15.6" x14ac:dyDescent="0.3">
      <c r="A8" s="33" t="s">
        <v>29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1:21" x14ac:dyDescent="0.25">
      <c r="A9" s="27" t="s">
        <v>31</v>
      </c>
      <c r="B9" s="27" t="s">
        <v>32</v>
      </c>
      <c r="C9" s="27" t="s">
        <v>33</v>
      </c>
      <c r="D9" s="28" t="str">
        <f>"0,6456"</f>
        <v>0,6456</v>
      </c>
      <c r="E9" s="27" t="s">
        <v>34</v>
      </c>
      <c r="F9" s="27" t="s">
        <v>35</v>
      </c>
      <c r="G9" s="29" t="s">
        <v>36</v>
      </c>
      <c r="H9" s="29" t="s">
        <v>37</v>
      </c>
      <c r="I9" s="29" t="s">
        <v>38</v>
      </c>
      <c r="J9" s="30"/>
      <c r="K9" s="29" t="s">
        <v>39</v>
      </c>
      <c r="L9" s="30" t="s">
        <v>40</v>
      </c>
      <c r="M9" s="29" t="s">
        <v>41</v>
      </c>
      <c r="N9" s="30"/>
      <c r="O9" s="29" t="s">
        <v>42</v>
      </c>
      <c r="P9" s="29" t="s">
        <v>36</v>
      </c>
      <c r="Q9" s="29" t="s">
        <v>43</v>
      </c>
      <c r="R9" s="30"/>
      <c r="S9" s="31" t="str">
        <f>"462,5"</f>
        <v>462,5</v>
      </c>
      <c r="T9" s="32" t="str">
        <f>"298,5900"</f>
        <v>298,5900</v>
      </c>
      <c r="U9" s="27" t="s">
        <v>28</v>
      </c>
    </row>
    <row r="11" spans="1:21" ht="15.6" x14ac:dyDescent="0.3">
      <c r="A11" s="33" t="s">
        <v>44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</row>
    <row r="12" spans="1:21" x14ac:dyDescent="0.25">
      <c r="A12" s="27" t="s">
        <v>46</v>
      </c>
      <c r="B12" s="27" t="s">
        <v>47</v>
      </c>
      <c r="C12" s="27" t="s">
        <v>48</v>
      </c>
      <c r="D12" s="28" t="str">
        <f>"0,6141"</f>
        <v>0,6141</v>
      </c>
      <c r="E12" s="27" t="s">
        <v>49</v>
      </c>
      <c r="F12" s="27" t="s">
        <v>50</v>
      </c>
      <c r="G12" s="29" t="s">
        <v>51</v>
      </c>
      <c r="H12" s="29" t="s">
        <v>52</v>
      </c>
      <c r="I12" s="30" t="s">
        <v>53</v>
      </c>
      <c r="J12" s="30"/>
      <c r="K12" s="29" t="s">
        <v>42</v>
      </c>
      <c r="L12" s="29" t="s">
        <v>54</v>
      </c>
      <c r="M12" s="29" t="s">
        <v>55</v>
      </c>
      <c r="N12" s="30"/>
      <c r="O12" s="30" t="s">
        <v>56</v>
      </c>
      <c r="P12" s="29" t="s">
        <v>56</v>
      </c>
      <c r="Q12" s="30"/>
      <c r="R12" s="30"/>
      <c r="S12" s="31" t="str">
        <f>"560,0"</f>
        <v>560,0</v>
      </c>
      <c r="T12" s="32" t="str">
        <f>"343,9240"</f>
        <v>343,9240</v>
      </c>
      <c r="U12" s="27" t="s">
        <v>28</v>
      </c>
    </row>
    <row r="14" spans="1:21" ht="15.6" x14ac:dyDescent="0.3">
      <c r="A14" s="33" t="s">
        <v>57</v>
      </c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</row>
    <row r="15" spans="1:21" x14ac:dyDescent="0.25">
      <c r="A15" s="27" t="s">
        <v>59</v>
      </c>
      <c r="B15" s="27" t="s">
        <v>60</v>
      </c>
      <c r="C15" s="27" t="s">
        <v>61</v>
      </c>
      <c r="D15" s="28" t="str">
        <f>"0,5324"</f>
        <v>0,5324</v>
      </c>
      <c r="E15" s="27" t="s">
        <v>19</v>
      </c>
      <c r="F15" s="27" t="s">
        <v>50</v>
      </c>
      <c r="G15" s="29" t="s">
        <v>62</v>
      </c>
      <c r="H15" s="29" t="s">
        <v>63</v>
      </c>
      <c r="I15" s="30"/>
      <c r="J15" s="30"/>
      <c r="K15" s="29" t="s">
        <v>64</v>
      </c>
      <c r="L15" s="29" t="s">
        <v>65</v>
      </c>
      <c r="M15" s="30" t="s">
        <v>66</v>
      </c>
      <c r="N15" s="30"/>
      <c r="O15" s="29" t="s">
        <v>67</v>
      </c>
      <c r="P15" s="29" t="s">
        <v>68</v>
      </c>
      <c r="Q15" s="29" t="s">
        <v>69</v>
      </c>
      <c r="R15" s="30"/>
      <c r="S15" s="31" t="str">
        <f>"940,0"</f>
        <v>940,0</v>
      </c>
      <c r="T15" s="32" t="str">
        <f>"500,4983"</f>
        <v>500,4983</v>
      </c>
      <c r="U15" s="27" t="s">
        <v>28</v>
      </c>
    </row>
    <row r="17" spans="1:5" ht="15" x14ac:dyDescent="0.25">
      <c r="E17" s="35" t="s">
        <v>70</v>
      </c>
    </row>
    <row r="18" spans="1:5" ht="15" x14ac:dyDescent="0.25">
      <c r="E18" s="35" t="s">
        <v>71</v>
      </c>
    </row>
    <row r="19" spans="1:5" ht="15" x14ac:dyDescent="0.25">
      <c r="E19" s="35" t="s">
        <v>72</v>
      </c>
    </row>
    <row r="20" spans="1:5" ht="15" x14ac:dyDescent="0.25">
      <c r="E20" s="35" t="s">
        <v>73</v>
      </c>
    </row>
    <row r="21" spans="1:5" ht="15" x14ac:dyDescent="0.25">
      <c r="E21" s="35" t="s">
        <v>73</v>
      </c>
    </row>
    <row r="22" spans="1:5" ht="15" x14ac:dyDescent="0.25">
      <c r="E22" s="35" t="s">
        <v>74</v>
      </c>
    </row>
    <row r="23" spans="1:5" ht="15" x14ac:dyDescent="0.25">
      <c r="E23" s="35"/>
    </row>
    <row r="25" spans="1:5" ht="17.399999999999999" x14ac:dyDescent="0.3">
      <c r="A25" s="36" t="s">
        <v>75</v>
      </c>
      <c r="B25" s="36"/>
    </row>
    <row r="26" spans="1:5" ht="15.6" x14ac:dyDescent="0.3">
      <c r="A26" s="37" t="s">
        <v>76</v>
      </c>
      <c r="B26" s="37"/>
    </row>
    <row r="27" spans="1:5" ht="14.4" x14ac:dyDescent="0.3">
      <c r="A27" s="39"/>
      <c r="B27" s="40" t="s">
        <v>77</v>
      </c>
    </row>
    <row r="28" spans="1:5" ht="13.8" x14ac:dyDescent="0.25">
      <c r="A28" s="41" t="s">
        <v>78</v>
      </c>
      <c r="B28" s="41" t="s">
        <v>79</v>
      </c>
      <c r="C28" s="41" t="s">
        <v>80</v>
      </c>
      <c r="D28" s="42" t="s">
        <v>81</v>
      </c>
      <c r="E28" s="41" t="s">
        <v>82</v>
      </c>
    </row>
    <row r="29" spans="1:5" x14ac:dyDescent="0.25">
      <c r="A29" s="38" t="s">
        <v>15</v>
      </c>
      <c r="B29" s="4" t="s">
        <v>83</v>
      </c>
      <c r="C29" s="4" t="s">
        <v>84</v>
      </c>
      <c r="D29" s="43">
        <v>195</v>
      </c>
      <c r="E29" s="44">
        <v>229.788007736206</v>
      </c>
    </row>
    <row r="31" spans="1:5" ht="14.4" x14ac:dyDescent="0.3">
      <c r="A31" s="39"/>
      <c r="B31" s="40" t="s">
        <v>85</v>
      </c>
    </row>
    <row r="32" spans="1:5" ht="13.8" x14ac:dyDescent="0.25">
      <c r="A32" s="41" t="s">
        <v>78</v>
      </c>
      <c r="B32" s="41" t="s">
        <v>79</v>
      </c>
      <c r="C32" s="41" t="s">
        <v>80</v>
      </c>
      <c r="D32" s="42" t="s">
        <v>81</v>
      </c>
      <c r="E32" s="41" t="s">
        <v>82</v>
      </c>
    </row>
    <row r="33" spans="1:5" x14ac:dyDescent="0.25">
      <c r="A33" s="38" t="s">
        <v>58</v>
      </c>
      <c r="B33" s="4" t="s">
        <v>85</v>
      </c>
      <c r="C33" s="4" t="s">
        <v>86</v>
      </c>
      <c r="D33" s="43">
        <v>940</v>
      </c>
      <c r="E33" s="44">
        <v>500.49831271171598</v>
      </c>
    </row>
    <row r="34" spans="1:5" x14ac:dyDescent="0.25">
      <c r="A34" s="38" t="s">
        <v>45</v>
      </c>
      <c r="B34" s="4" t="s">
        <v>85</v>
      </c>
      <c r="C34" s="4" t="s">
        <v>87</v>
      </c>
      <c r="D34" s="43">
        <v>560</v>
      </c>
      <c r="E34" s="44">
        <v>343.92399311065702</v>
      </c>
    </row>
    <row r="35" spans="1:5" x14ac:dyDescent="0.25">
      <c r="A35" s="38" t="s">
        <v>30</v>
      </c>
      <c r="B35" s="4" t="s">
        <v>85</v>
      </c>
      <c r="C35" s="4" t="s">
        <v>88</v>
      </c>
      <c r="D35" s="43">
        <v>462.5</v>
      </c>
      <c r="E35" s="44">
        <v>298.59000965952902</v>
      </c>
    </row>
  </sheetData>
  <mergeCells count="17">
    <mergeCell ref="A5:R5"/>
    <mergeCell ref="A8:R8"/>
    <mergeCell ref="A11:R11"/>
    <mergeCell ref="A14:R14"/>
    <mergeCell ref="D3:D4"/>
    <mergeCell ref="S3:S4"/>
    <mergeCell ref="T3:T4"/>
    <mergeCell ref="A1:U2"/>
    <mergeCell ref="G3:J3"/>
    <mergeCell ref="K3:N3"/>
    <mergeCell ref="O3:R3"/>
    <mergeCell ref="A3:A4"/>
    <mergeCell ref="B3:B4"/>
    <mergeCell ref="C3:C4"/>
    <mergeCell ref="U3:U4"/>
    <mergeCell ref="F3:F4"/>
    <mergeCell ref="E3:E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8.21875" style="5" bestFit="1" customWidth="1"/>
    <col min="5" max="5" width="21.77734375" style="4" bestFit="1" customWidth="1"/>
    <col min="6" max="6" width="29.109375" style="4" bestFit="1" customWidth="1"/>
    <col min="7" max="9" width="5.5546875" style="3" customWidth="1"/>
    <col min="10" max="10" width="4.5546875" style="3" customWidth="1"/>
    <col min="11" max="13" width="5.5546875" style="3" customWidth="1"/>
    <col min="14" max="14" width="4.5546875" style="3" customWidth="1"/>
    <col min="15" max="15" width="7.6640625" style="7" bestFit="1" customWidth="1"/>
    <col min="16" max="16" width="8.5546875" style="8" bestFit="1" customWidth="1"/>
    <col min="17" max="17" width="12.6640625" style="4" bestFit="1" customWidth="1"/>
    <col min="18" max="16384" width="9.109375" style="3"/>
  </cols>
  <sheetData>
    <row r="1" spans="1:17" s="2" customFormat="1" ht="28.95" customHeight="1" x14ac:dyDescent="0.25">
      <c r="A1" s="24" t="s">
        <v>375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1:17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12</v>
      </c>
      <c r="H3" s="17"/>
      <c r="I3" s="17"/>
      <c r="J3" s="17"/>
      <c r="K3" s="17" t="s">
        <v>13</v>
      </c>
      <c r="L3" s="17"/>
      <c r="M3" s="17"/>
      <c r="N3" s="17"/>
      <c r="O3" s="10" t="s">
        <v>1</v>
      </c>
      <c r="P3" s="10" t="s">
        <v>3</v>
      </c>
      <c r="Q3" s="22" t="s">
        <v>2</v>
      </c>
    </row>
    <row r="4" spans="1:17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11"/>
      <c r="P4" s="11"/>
      <c r="Q4" s="23"/>
    </row>
    <row r="5" spans="1:17" ht="15.6" x14ac:dyDescent="0.3">
      <c r="A5" s="25" t="s">
        <v>44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7" x14ac:dyDescent="0.25">
      <c r="A6" s="27" t="s">
        <v>377</v>
      </c>
      <c r="B6" s="27" t="s">
        <v>378</v>
      </c>
      <c r="C6" s="27" t="s">
        <v>379</v>
      </c>
      <c r="D6" s="28" t="str">
        <f>"0,7724"</f>
        <v>0,7724</v>
      </c>
      <c r="E6" s="27" t="s">
        <v>214</v>
      </c>
      <c r="F6" s="27" t="s">
        <v>215</v>
      </c>
      <c r="G6" s="29" t="s">
        <v>128</v>
      </c>
      <c r="H6" s="29" t="s">
        <v>22</v>
      </c>
      <c r="I6" s="29" t="s">
        <v>241</v>
      </c>
      <c r="J6" s="30"/>
      <c r="K6" s="29" t="s">
        <v>54</v>
      </c>
      <c r="L6" s="29" t="s">
        <v>55</v>
      </c>
      <c r="M6" s="30" t="s">
        <v>380</v>
      </c>
      <c r="N6" s="30"/>
      <c r="O6" s="31" t="str">
        <f>"207,5"</f>
        <v>207,5</v>
      </c>
      <c r="P6" s="32" t="str">
        <f>"160,2834"</f>
        <v>160,2834</v>
      </c>
      <c r="Q6" s="27" t="s">
        <v>28</v>
      </c>
    </row>
    <row r="8" spans="1:17" ht="15.6" x14ac:dyDescent="0.3">
      <c r="A8" s="33" t="s">
        <v>112</v>
      </c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 spans="1:17" x14ac:dyDescent="0.25">
      <c r="A9" s="27" t="s">
        <v>331</v>
      </c>
      <c r="B9" s="27" t="s">
        <v>332</v>
      </c>
      <c r="C9" s="27" t="s">
        <v>333</v>
      </c>
      <c r="D9" s="28" t="str">
        <f>"0,7503"</f>
        <v>0,7503</v>
      </c>
      <c r="E9" s="27" t="s">
        <v>49</v>
      </c>
      <c r="F9" s="27" t="s">
        <v>50</v>
      </c>
      <c r="G9" s="29" t="s">
        <v>205</v>
      </c>
      <c r="H9" s="29" t="s">
        <v>127</v>
      </c>
      <c r="I9" s="29" t="s">
        <v>39</v>
      </c>
      <c r="J9" s="30"/>
      <c r="K9" s="29" t="s">
        <v>287</v>
      </c>
      <c r="L9" s="29" t="s">
        <v>51</v>
      </c>
      <c r="M9" s="30" t="s">
        <v>334</v>
      </c>
      <c r="N9" s="30"/>
      <c r="O9" s="31" t="str">
        <f>"295,0"</f>
        <v>295,0</v>
      </c>
      <c r="P9" s="32" t="str">
        <f>"221,3532"</f>
        <v>221,3532</v>
      </c>
      <c r="Q9" s="27" t="s">
        <v>103</v>
      </c>
    </row>
    <row r="11" spans="1:17" ht="15.6" x14ac:dyDescent="0.3">
      <c r="A11" s="33" t="s">
        <v>130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12" spans="1:17" x14ac:dyDescent="0.25">
      <c r="A12" s="27" t="s">
        <v>382</v>
      </c>
      <c r="B12" s="27" t="s">
        <v>383</v>
      </c>
      <c r="C12" s="27" t="s">
        <v>384</v>
      </c>
      <c r="D12" s="28" t="str">
        <f>"0,7005"</f>
        <v>0,7005</v>
      </c>
      <c r="E12" s="27" t="s">
        <v>214</v>
      </c>
      <c r="F12" s="27" t="s">
        <v>215</v>
      </c>
      <c r="G12" s="29" t="s">
        <v>183</v>
      </c>
      <c r="H12" s="29" t="s">
        <v>188</v>
      </c>
      <c r="I12" s="29" t="s">
        <v>189</v>
      </c>
      <c r="J12" s="30"/>
      <c r="K12" s="29" t="s">
        <v>54</v>
      </c>
      <c r="L12" s="29" t="s">
        <v>385</v>
      </c>
      <c r="M12" s="30" t="s">
        <v>380</v>
      </c>
      <c r="N12" s="30"/>
      <c r="O12" s="31" t="str">
        <f>"247,5"</f>
        <v>247,5</v>
      </c>
      <c r="P12" s="32" t="str">
        <f>"173,3614"</f>
        <v>173,3614</v>
      </c>
      <c r="Q12" s="27" t="s">
        <v>28</v>
      </c>
    </row>
    <row r="14" spans="1:17" ht="15" x14ac:dyDescent="0.25">
      <c r="E14" s="35" t="s">
        <v>70</v>
      </c>
    </row>
    <row r="15" spans="1:17" ht="15" x14ac:dyDescent="0.25">
      <c r="E15" s="35" t="s">
        <v>71</v>
      </c>
    </row>
    <row r="16" spans="1:17" ht="15" x14ac:dyDescent="0.25">
      <c r="E16" s="35" t="s">
        <v>72</v>
      </c>
    </row>
    <row r="17" spans="1:5" ht="15" x14ac:dyDescent="0.25">
      <c r="E17" s="35" t="s">
        <v>73</v>
      </c>
    </row>
    <row r="18" spans="1:5" ht="15" x14ac:dyDescent="0.25">
      <c r="E18" s="35" t="s">
        <v>73</v>
      </c>
    </row>
    <row r="19" spans="1:5" ht="15" x14ac:dyDescent="0.25">
      <c r="E19" s="35" t="s">
        <v>74</v>
      </c>
    </row>
    <row r="20" spans="1:5" ht="15" x14ac:dyDescent="0.25">
      <c r="E20" s="35"/>
    </row>
    <row r="22" spans="1:5" ht="17.399999999999999" x14ac:dyDescent="0.3">
      <c r="A22" s="36" t="s">
        <v>75</v>
      </c>
      <c r="B22" s="36"/>
    </row>
    <row r="23" spans="1:5" ht="15.6" x14ac:dyDescent="0.3">
      <c r="A23" s="37" t="s">
        <v>163</v>
      </c>
      <c r="B23" s="37"/>
    </row>
    <row r="24" spans="1:5" ht="14.4" x14ac:dyDescent="0.3">
      <c r="A24" s="39"/>
      <c r="B24" s="40" t="s">
        <v>85</v>
      </c>
    </row>
    <row r="25" spans="1:5" ht="13.8" x14ac:dyDescent="0.25">
      <c r="A25" s="41" t="s">
        <v>78</v>
      </c>
      <c r="B25" s="41" t="s">
        <v>79</v>
      </c>
      <c r="C25" s="41" t="s">
        <v>80</v>
      </c>
      <c r="D25" s="42" t="s">
        <v>81</v>
      </c>
      <c r="E25" s="41" t="s">
        <v>82</v>
      </c>
    </row>
    <row r="26" spans="1:5" x14ac:dyDescent="0.25">
      <c r="A26" s="38" t="s">
        <v>376</v>
      </c>
      <c r="B26" s="4" t="s">
        <v>85</v>
      </c>
      <c r="C26" s="4" t="s">
        <v>87</v>
      </c>
      <c r="D26" s="43">
        <v>207.5</v>
      </c>
      <c r="E26" s="44">
        <v>160.28336882591199</v>
      </c>
    </row>
    <row r="29" spans="1:5" ht="15.6" x14ac:dyDescent="0.3">
      <c r="A29" s="37" t="s">
        <v>76</v>
      </c>
      <c r="B29" s="37"/>
    </row>
    <row r="30" spans="1:5" ht="14.4" x14ac:dyDescent="0.3">
      <c r="A30" s="39"/>
      <c r="B30" s="40" t="s">
        <v>85</v>
      </c>
    </row>
    <row r="31" spans="1:5" ht="13.8" x14ac:dyDescent="0.25">
      <c r="A31" s="41" t="s">
        <v>78</v>
      </c>
      <c r="B31" s="41" t="s">
        <v>79</v>
      </c>
      <c r="C31" s="41" t="s">
        <v>80</v>
      </c>
      <c r="D31" s="42" t="s">
        <v>81</v>
      </c>
      <c r="E31" s="41" t="s">
        <v>82</v>
      </c>
    </row>
    <row r="32" spans="1:5" x14ac:dyDescent="0.25">
      <c r="A32" s="38" t="s">
        <v>330</v>
      </c>
      <c r="B32" s="4" t="s">
        <v>85</v>
      </c>
      <c r="C32" s="4" t="s">
        <v>166</v>
      </c>
      <c r="D32" s="43">
        <v>295</v>
      </c>
      <c r="E32" s="44">
        <v>221.35324954986601</v>
      </c>
    </row>
    <row r="33" spans="1:5" x14ac:dyDescent="0.25">
      <c r="A33" s="38" t="s">
        <v>381</v>
      </c>
      <c r="B33" s="4" t="s">
        <v>85</v>
      </c>
      <c r="C33" s="4" t="s">
        <v>168</v>
      </c>
      <c r="D33" s="43">
        <v>247.5</v>
      </c>
      <c r="E33" s="44">
        <v>173.36137577891299</v>
      </c>
    </row>
  </sheetData>
  <mergeCells count="15">
    <mergeCell ref="A8:N8"/>
    <mergeCell ref="A11:N11"/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8.21875" style="5" bestFit="1" customWidth="1"/>
    <col min="5" max="5" width="21.77734375" style="4" bestFit="1" customWidth="1"/>
    <col min="6" max="6" width="29.109375" style="4" bestFit="1" customWidth="1"/>
    <col min="7" max="9" width="5.5546875" style="3" customWidth="1"/>
    <col min="10" max="10" width="4.5546875" style="3" customWidth="1"/>
    <col min="11" max="13" width="5.5546875" style="3" customWidth="1"/>
    <col min="14" max="14" width="4.5546875" style="3" customWidth="1"/>
    <col min="15" max="15" width="7.6640625" style="7" bestFit="1" customWidth="1"/>
    <col min="16" max="16" width="8.5546875" style="8" bestFit="1" customWidth="1"/>
    <col min="17" max="17" width="8.33203125" style="4" bestFit="1" customWidth="1"/>
    <col min="18" max="16384" width="9.109375" style="3"/>
  </cols>
  <sheetData>
    <row r="1" spans="1:17" s="2" customFormat="1" ht="28.95" customHeight="1" x14ac:dyDescent="0.25">
      <c r="A1" s="24" t="s">
        <v>365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3"/>
    </row>
    <row r="2" spans="1:17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  <row r="3" spans="1:17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12</v>
      </c>
      <c r="H3" s="17"/>
      <c r="I3" s="17"/>
      <c r="J3" s="17"/>
      <c r="K3" s="17" t="s">
        <v>13</v>
      </c>
      <c r="L3" s="17"/>
      <c r="M3" s="17"/>
      <c r="N3" s="17"/>
      <c r="O3" s="10" t="s">
        <v>1</v>
      </c>
      <c r="P3" s="10" t="s">
        <v>3</v>
      </c>
      <c r="Q3" s="22" t="s">
        <v>2</v>
      </c>
    </row>
    <row r="4" spans="1:17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9">
        <v>1</v>
      </c>
      <c r="L4" s="9">
        <v>2</v>
      </c>
      <c r="M4" s="9">
        <v>3</v>
      </c>
      <c r="N4" s="9" t="s">
        <v>5</v>
      </c>
      <c r="O4" s="11"/>
      <c r="P4" s="11"/>
      <c r="Q4" s="23"/>
    </row>
    <row r="5" spans="1:17" ht="15.6" x14ac:dyDescent="0.3">
      <c r="A5" s="25" t="s">
        <v>90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</row>
    <row r="6" spans="1:17" x14ac:dyDescent="0.25">
      <c r="A6" s="27" t="s">
        <v>367</v>
      </c>
      <c r="B6" s="27" t="s">
        <v>368</v>
      </c>
      <c r="C6" s="27" t="s">
        <v>369</v>
      </c>
      <c r="D6" s="28" t="str">
        <f>"0,5673"</f>
        <v>0,5673</v>
      </c>
      <c r="E6" s="27" t="s">
        <v>214</v>
      </c>
      <c r="F6" s="27" t="s">
        <v>215</v>
      </c>
      <c r="G6" s="29" t="s">
        <v>43</v>
      </c>
      <c r="H6" s="29" t="s">
        <v>370</v>
      </c>
      <c r="I6" s="29" t="s">
        <v>371</v>
      </c>
      <c r="J6" s="30"/>
      <c r="K6" s="29" t="s">
        <v>372</v>
      </c>
      <c r="L6" s="29" t="s">
        <v>373</v>
      </c>
      <c r="M6" s="30" t="s">
        <v>374</v>
      </c>
      <c r="N6" s="30"/>
      <c r="O6" s="31" t="str">
        <f>"447,5"</f>
        <v>447,5</v>
      </c>
      <c r="P6" s="32" t="str">
        <f>"253,8668"</f>
        <v>253,8668</v>
      </c>
      <c r="Q6" s="27" t="s">
        <v>28</v>
      </c>
    </row>
    <row r="8" spans="1:17" ht="15" x14ac:dyDescent="0.25">
      <c r="E8" s="35" t="s">
        <v>70</v>
      </c>
    </row>
    <row r="9" spans="1:17" ht="15" x14ac:dyDescent="0.25">
      <c r="E9" s="35" t="s">
        <v>71</v>
      </c>
    </row>
    <row r="10" spans="1:17" ht="15" x14ac:dyDescent="0.25">
      <c r="E10" s="35" t="s">
        <v>72</v>
      </c>
    </row>
    <row r="11" spans="1:17" ht="15" x14ac:dyDescent="0.25">
      <c r="E11" s="35" t="s">
        <v>73</v>
      </c>
    </row>
    <row r="12" spans="1:17" ht="15" x14ac:dyDescent="0.25">
      <c r="E12" s="35" t="s">
        <v>73</v>
      </c>
    </row>
    <row r="13" spans="1:17" ht="15" x14ac:dyDescent="0.25">
      <c r="E13" s="35" t="s">
        <v>74</v>
      </c>
    </row>
    <row r="14" spans="1:17" ht="15" x14ac:dyDescent="0.25">
      <c r="E14" s="35"/>
    </row>
    <row r="16" spans="1:17" ht="17.399999999999999" x14ac:dyDescent="0.3">
      <c r="A16" s="36" t="s">
        <v>75</v>
      </c>
      <c r="B16" s="36"/>
    </row>
    <row r="17" spans="1:5" ht="15.6" x14ac:dyDescent="0.3">
      <c r="A17" s="37" t="s">
        <v>76</v>
      </c>
      <c r="B17" s="37"/>
    </row>
    <row r="18" spans="1:5" ht="14.4" x14ac:dyDescent="0.3">
      <c r="A18" s="39"/>
      <c r="B18" s="40" t="s">
        <v>85</v>
      </c>
    </row>
    <row r="19" spans="1:5" ht="13.8" x14ac:dyDescent="0.25">
      <c r="A19" s="41" t="s">
        <v>78</v>
      </c>
      <c r="B19" s="41" t="s">
        <v>79</v>
      </c>
      <c r="C19" s="41" t="s">
        <v>80</v>
      </c>
      <c r="D19" s="42" t="s">
        <v>81</v>
      </c>
      <c r="E19" s="41" t="s">
        <v>82</v>
      </c>
    </row>
    <row r="20" spans="1:5" x14ac:dyDescent="0.25">
      <c r="A20" s="38" t="s">
        <v>366</v>
      </c>
      <c r="B20" s="4" t="s">
        <v>85</v>
      </c>
      <c r="C20" s="4" t="s">
        <v>100</v>
      </c>
      <c r="D20" s="43">
        <v>447.5</v>
      </c>
      <c r="E20" s="44">
        <v>253.86675968766201</v>
      </c>
    </row>
  </sheetData>
  <mergeCells count="13">
    <mergeCell ref="O3:O4"/>
    <mergeCell ref="P3:P4"/>
    <mergeCell ref="Q3:Q4"/>
    <mergeCell ref="A5:N5"/>
    <mergeCell ref="A1:Q2"/>
    <mergeCell ref="A3:A4"/>
    <mergeCell ref="B3:B4"/>
    <mergeCell ref="C3:C4"/>
    <mergeCell ref="D3:D4"/>
    <mergeCell ref="E3:E4"/>
    <mergeCell ref="F3:F4"/>
    <mergeCell ref="G3:J3"/>
    <mergeCell ref="K3:N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5" bestFit="1" customWidth="1"/>
    <col min="5" max="6" width="21.77734375" style="4" bestFit="1" customWidth="1"/>
    <col min="7" max="10" width="5.5546875" style="3" customWidth="1"/>
    <col min="11" max="11" width="7.6640625" style="7" bestFit="1" customWidth="1"/>
    <col min="12" max="12" width="8.5546875" style="8" bestFit="1" customWidth="1"/>
    <col min="13" max="13" width="16.44140625" style="4" bestFit="1" customWidth="1"/>
    <col min="14" max="16384" width="9.109375" style="3"/>
  </cols>
  <sheetData>
    <row r="1" spans="1:13" s="2" customFormat="1" ht="28.95" customHeight="1" x14ac:dyDescent="0.25">
      <c r="A1" s="24" t="s">
        <v>363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361</v>
      </c>
      <c r="H3" s="17"/>
      <c r="I3" s="17"/>
      <c r="J3" s="17"/>
      <c r="K3" s="10" t="s">
        <v>207</v>
      </c>
      <c r="L3" s="10" t="s">
        <v>3</v>
      </c>
      <c r="M3" s="22" t="s">
        <v>2</v>
      </c>
    </row>
    <row r="4" spans="1:13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11"/>
      <c r="L4" s="11"/>
      <c r="M4" s="23"/>
    </row>
    <row r="5" spans="1:13" ht="15.6" x14ac:dyDescent="0.3">
      <c r="A5" s="25" t="s">
        <v>112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x14ac:dyDescent="0.25">
      <c r="A6" s="27" t="s">
        <v>326</v>
      </c>
      <c r="B6" s="27" t="s">
        <v>364</v>
      </c>
      <c r="C6" s="27" t="s">
        <v>328</v>
      </c>
      <c r="D6" s="28" t="str">
        <f>"0,9511"</f>
        <v>0,9511</v>
      </c>
      <c r="E6" s="27" t="s">
        <v>49</v>
      </c>
      <c r="F6" s="27" t="s">
        <v>50</v>
      </c>
      <c r="G6" s="29" t="s">
        <v>189</v>
      </c>
      <c r="H6" s="29" t="s">
        <v>39</v>
      </c>
      <c r="I6" s="29" t="s">
        <v>36</v>
      </c>
      <c r="J6" s="29" t="s">
        <v>43</v>
      </c>
      <c r="K6" s="31" t="str">
        <f>"150,0"</f>
        <v>150,0</v>
      </c>
      <c r="L6" s="32" t="str">
        <f>"142,6650"</f>
        <v>142,6650</v>
      </c>
      <c r="M6" s="27" t="s">
        <v>109</v>
      </c>
    </row>
    <row r="8" spans="1:13" ht="15" x14ac:dyDescent="0.25">
      <c r="E8" s="35" t="s">
        <v>70</v>
      </c>
    </row>
    <row r="9" spans="1:13" ht="15" x14ac:dyDescent="0.25">
      <c r="E9" s="35" t="s">
        <v>71</v>
      </c>
    </row>
    <row r="10" spans="1:13" ht="15" x14ac:dyDescent="0.25">
      <c r="E10" s="35" t="s">
        <v>72</v>
      </c>
    </row>
    <row r="11" spans="1:13" ht="15" x14ac:dyDescent="0.25">
      <c r="E11" s="35" t="s">
        <v>73</v>
      </c>
    </row>
    <row r="12" spans="1:13" ht="15" x14ac:dyDescent="0.25">
      <c r="E12" s="35" t="s">
        <v>73</v>
      </c>
    </row>
    <row r="13" spans="1:13" ht="15" x14ac:dyDescent="0.25">
      <c r="E13" s="35" t="s">
        <v>74</v>
      </c>
    </row>
    <row r="14" spans="1:13" ht="15" x14ac:dyDescent="0.25">
      <c r="E14" s="35"/>
    </row>
    <row r="16" spans="1:13" ht="17.399999999999999" x14ac:dyDescent="0.3">
      <c r="A16" s="36" t="s">
        <v>75</v>
      </c>
      <c r="B16" s="36"/>
    </row>
    <row r="17" spans="1:5" ht="15.6" x14ac:dyDescent="0.3">
      <c r="A17" s="37" t="s">
        <v>163</v>
      </c>
      <c r="B17" s="37"/>
    </row>
    <row r="18" spans="1:5" ht="14.4" x14ac:dyDescent="0.3">
      <c r="A18" s="39"/>
      <c r="B18" s="40" t="s">
        <v>85</v>
      </c>
    </row>
    <row r="19" spans="1:5" ht="13.8" x14ac:dyDescent="0.25">
      <c r="A19" s="41" t="s">
        <v>78</v>
      </c>
      <c r="B19" s="41" t="s">
        <v>79</v>
      </c>
      <c r="C19" s="41" t="s">
        <v>80</v>
      </c>
      <c r="D19" s="42" t="s">
        <v>217</v>
      </c>
      <c r="E19" s="41" t="s">
        <v>82</v>
      </c>
    </row>
    <row r="20" spans="1:5" x14ac:dyDescent="0.25">
      <c r="A20" s="38" t="s">
        <v>325</v>
      </c>
      <c r="B20" s="4" t="s">
        <v>85</v>
      </c>
      <c r="C20" s="4" t="s">
        <v>166</v>
      </c>
      <c r="D20" s="43">
        <v>150</v>
      </c>
      <c r="E20" s="44">
        <v>142.66499876975999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5" bestFit="1" customWidth="1"/>
    <col min="5" max="6" width="21.77734375" style="4" bestFit="1" customWidth="1"/>
    <col min="7" max="9" width="5.5546875" style="3" customWidth="1"/>
    <col min="10" max="10" width="4.5546875" style="3" customWidth="1"/>
    <col min="11" max="11" width="7.6640625" style="7" bestFit="1" customWidth="1"/>
    <col min="12" max="12" width="8.5546875" style="8" bestFit="1" customWidth="1"/>
    <col min="13" max="13" width="14" style="4" bestFit="1" customWidth="1"/>
    <col min="14" max="16384" width="9.109375" style="3"/>
  </cols>
  <sheetData>
    <row r="1" spans="1:13" s="2" customFormat="1" ht="28.95" customHeight="1" x14ac:dyDescent="0.25">
      <c r="A1" s="24" t="s">
        <v>360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361</v>
      </c>
      <c r="H3" s="17"/>
      <c r="I3" s="17"/>
      <c r="J3" s="17"/>
      <c r="K3" s="10" t="s">
        <v>207</v>
      </c>
      <c r="L3" s="10" t="s">
        <v>3</v>
      </c>
      <c r="M3" s="22" t="s">
        <v>2</v>
      </c>
    </row>
    <row r="4" spans="1:13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11"/>
      <c r="L4" s="11"/>
      <c r="M4" s="23"/>
    </row>
    <row r="5" spans="1:13" ht="15.6" x14ac:dyDescent="0.3">
      <c r="A5" s="25" t="s">
        <v>112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x14ac:dyDescent="0.25">
      <c r="A6" s="27" t="s">
        <v>307</v>
      </c>
      <c r="B6" s="27" t="s">
        <v>308</v>
      </c>
      <c r="C6" s="27" t="s">
        <v>309</v>
      </c>
      <c r="D6" s="28" t="str">
        <f>"0,9746"</f>
        <v>0,9746</v>
      </c>
      <c r="E6" s="27" t="s">
        <v>175</v>
      </c>
      <c r="F6" s="27" t="s">
        <v>50</v>
      </c>
      <c r="G6" s="30" t="s">
        <v>362</v>
      </c>
      <c r="H6" s="29" t="s">
        <v>362</v>
      </c>
      <c r="I6" s="30" t="s">
        <v>162</v>
      </c>
      <c r="J6" s="30"/>
      <c r="K6" s="31" t="str">
        <f>"217,5"</f>
        <v>217,5</v>
      </c>
      <c r="L6" s="32" t="str">
        <f>"211,9755"</f>
        <v>211,9755</v>
      </c>
      <c r="M6" s="27" t="s">
        <v>256</v>
      </c>
    </row>
    <row r="8" spans="1:13" ht="15" x14ac:dyDescent="0.25">
      <c r="E8" s="35" t="s">
        <v>70</v>
      </c>
    </row>
    <row r="9" spans="1:13" ht="15" x14ac:dyDescent="0.25">
      <c r="E9" s="35" t="s">
        <v>71</v>
      </c>
    </row>
    <row r="10" spans="1:13" ht="15" x14ac:dyDescent="0.25">
      <c r="E10" s="35" t="s">
        <v>72</v>
      </c>
    </row>
    <row r="11" spans="1:13" ht="15" x14ac:dyDescent="0.25">
      <c r="E11" s="35" t="s">
        <v>73</v>
      </c>
    </row>
    <row r="12" spans="1:13" ht="15" x14ac:dyDescent="0.25">
      <c r="E12" s="35" t="s">
        <v>73</v>
      </c>
    </row>
    <row r="13" spans="1:13" ht="15" x14ac:dyDescent="0.25">
      <c r="E13" s="35" t="s">
        <v>74</v>
      </c>
    </row>
    <row r="14" spans="1:13" ht="15" x14ac:dyDescent="0.25">
      <c r="E14" s="35"/>
    </row>
    <row r="16" spans="1:13" ht="17.399999999999999" x14ac:dyDescent="0.3">
      <c r="A16" s="36" t="s">
        <v>75</v>
      </c>
      <c r="B16" s="36"/>
    </row>
    <row r="17" spans="1:5" ht="15.6" x14ac:dyDescent="0.3">
      <c r="A17" s="37" t="s">
        <v>163</v>
      </c>
      <c r="B17" s="37"/>
    </row>
    <row r="18" spans="1:5" ht="14.4" x14ac:dyDescent="0.3">
      <c r="A18" s="39"/>
      <c r="B18" s="40" t="s">
        <v>85</v>
      </c>
    </row>
    <row r="19" spans="1:5" ht="13.8" x14ac:dyDescent="0.25">
      <c r="A19" s="41" t="s">
        <v>78</v>
      </c>
      <c r="B19" s="41" t="s">
        <v>79</v>
      </c>
      <c r="C19" s="41" t="s">
        <v>80</v>
      </c>
      <c r="D19" s="42" t="s">
        <v>217</v>
      </c>
      <c r="E19" s="41" t="s">
        <v>82</v>
      </c>
    </row>
    <row r="20" spans="1:5" x14ac:dyDescent="0.25">
      <c r="A20" s="38" t="s">
        <v>306</v>
      </c>
      <c r="B20" s="4" t="s">
        <v>85</v>
      </c>
      <c r="C20" s="4" t="s">
        <v>166</v>
      </c>
      <c r="D20" s="43">
        <v>217.5</v>
      </c>
      <c r="E20" s="44">
        <v>211.97550371289299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7.6640625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32" style="4" bestFit="1" customWidth="1"/>
    <col min="7" max="10" width="4.5546875" style="3" customWidth="1"/>
    <col min="11" max="11" width="7.6640625" style="7" bestFit="1" customWidth="1"/>
    <col min="12" max="12" width="7.5546875" style="8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4" t="s">
        <v>359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311</v>
      </c>
      <c r="H3" s="17"/>
      <c r="I3" s="17"/>
      <c r="J3" s="17"/>
      <c r="K3" s="10" t="s">
        <v>207</v>
      </c>
      <c r="L3" s="10" t="s">
        <v>3</v>
      </c>
      <c r="M3" s="22" t="s">
        <v>2</v>
      </c>
    </row>
    <row r="4" spans="1:13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11"/>
      <c r="L4" s="11"/>
      <c r="M4" s="23"/>
    </row>
    <row r="5" spans="1:13" ht="15.6" x14ac:dyDescent="0.3">
      <c r="A5" s="25" t="s">
        <v>130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x14ac:dyDescent="0.25">
      <c r="A6" s="27" t="s">
        <v>191</v>
      </c>
      <c r="B6" s="27" t="s">
        <v>192</v>
      </c>
      <c r="C6" s="27" t="s">
        <v>193</v>
      </c>
      <c r="D6" s="28" t="str">
        <f>"0,6885"</f>
        <v>0,6885</v>
      </c>
      <c r="E6" s="27" t="s">
        <v>34</v>
      </c>
      <c r="F6" s="27" t="s">
        <v>35</v>
      </c>
      <c r="G6" s="29" t="s">
        <v>21</v>
      </c>
      <c r="H6" s="30" t="s">
        <v>182</v>
      </c>
      <c r="I6" s="30" t="s">
        <v>182</v>
      </c>
      <c r="J6" s="30"/>
      <c r="K6" s="31" t="str">
        <f>"50,0"</f>
        <v>50,0</v>
      </c>
      <c r="L6" s="32" t="str">
        <f>"34,4275"</f>
        <v>34,4275</v>
      </c>
      <c r="M6" s="27" t="s">
        <v>28</v>
      </c>
    </row>
    <row r="8" spans="1:13" ht="15" x14ac:dyDescent="0.25">
      <c r="E8" s="35" t="s">
        <v>70</v>
      </c>
    </row>
    <row r="9" spans="1:13" ht="15" x14ac:dyDescent="0.25">
      <c r="E9" s="35" t="s">
        <v>71</v>
      </c>
    </row>
    <row r="10" spans="1:13" ht="15" x14ac:dyDescent="0.25">
      <c r="E10" s="35" t="s">
        <v>72</v>
      </c>
    </row>
    <row r="11" spans="1:13" ht="15" x14ac:dyDescent="0.25">
      <c r="E11" s="35" t="s">
        <v>73</v>
      </c>
    </row>
    <row r="12" spans="1:13" ht="15" x14ac:dyDescent="0.25">
      <c r="E12" s="35" t="s">
        <v>73</v>
      </c>
    </row>
    <row r="13" spans="1:13" ht="15" x14ac:dyDescent="0.25">
      <c r="E13" s="35" t="s">
        <v>74</v>
      </c>
    </row>
    <row r="14" spans="1:13" ht="15" x14ac:dyDescent="0.25">
      <c r="E14" s="35"/>
    </row>
    <row r="16" spans="1:13" ht="17.399999999999999" x14ac:dyDescent="0.3">
      <c r="A16" s="36" t="s">
        <v>75</v>
      </c>
      <c r="B16" s="36"/>
    </row>
    <row r="17" spans="1:5" ht="15.6" x14ac:dyDescent="0.3">
      <c r="A17" s="37" t="s">
        <v>76</v>
      </c>
      <c r="B17" s="37"/>
    </row>
    <row r="18" spans="1:5" ht="14.4" x14ac:dyDescent="0.3">
      <c r="A18" s="39"/>
      <c r="B18" s="40" t="s">
        <v>77</v>
      </c>
    </row>
    <row r="19" spans="1:5" ht="13.8" x14ac:dyDescent="0.25">
      <c r="A19" s="41" t="s">
        <v>78</v>
      </c>
      <c r="B19" s="41" t="s">
        <v>79</v>
      </c>
      <c r="C19" s="41" t="s">
        <v>80</v>
      </c>
      <c r="D19" s="42" t="s">
        <v>217</v>
      </c>
      <c r="E19" s="41" t="s">
        <v>82</v>
      </c>
    </row>
    <row r="20" spans="1:5" x14ac:dyDescent="0.25">
      <c r="A20" s="38" t="s">
        <v>190</v>
      </c>
      <c r="B20" s="4" t="s">
        <v>165</v>
      </c>
      <c r="C20" s="4" t="s">
        <v>168</v>
      </c>
      <c r="D20" s="43">
        <v>50</v>
      </c>
      <c r="E20" s="44">
        <v>34.4274997711182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5" bestFit="1" customWidth="1"/>
    <col min="5" max="6" width="21.77734375" style="4" bestFit="1" customWidth="1"/>
    <col min="7" max="10" width="4.5546875" style="3" customWidth="1"/>
    <col min="11" max="11" width="7.6640625" style="7" bestFit="1" customWidth="1"/>
    <col min="12" max="12" width="7.5546875" style="8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4" t="s">
        <v>354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311</v>
      </c>
      <c r="H3" s="17"/>
      <c r="I3" s="17"/>
      <c r="J3" s="17"/>
      <c r="K3" s="10" t="s">
        <v>207</v>
      </c>
      <c r="L3" s="10" t="s">
        <v>3</v>
      </c>
      <c r="M3" s="22" t="s">
        <v>2</v>
      </c>
    </row>
    <row r="4" spans="1:13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11"/>
      <c r="L4" s="11"/>
      <c r="M4" s="23"/>
    </row>
    <row r="5" spans="1:13" ht="15.6" x14ac:dyDescent="0.3">
      <c r="A5" s="25" t="s">
        <v>209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x14ac:dyDescent="0.25">
      <c r="A6" s="27" t="s">
        <v>356</v>
      </c>
      <c r="B6" s="27" t="s">
        <v>357</v>
      </c>
      <c r="C6" s="27" t="s">
        <v>358</v>
      </c>
      <c r="D6" s="28" t="str">
        <f>"0,5864"</f>
        <v>0,5864</v>
      </c>
      <c r="E6" s="27" t="s">
        <v>19</v>
      </c>
      <c r="F6" s="27" t="s">
        <v>50</v>
      </c>
      <c r="G6" s="30" t="s">
        <v>26</v>
      </c>
      <c r="H6" s="29" t="s">
        <v>23</v>
      </c>
      <c r="I6" s="30" t="s">
        <v>204</v>
      </c>
      <c r="J6" s="30"/>
      <c r="K6" s="31" t="str">
        <f>"70,0"</f>
        <v>70,0</v>
      </c>
      <c r="L6" s="32" t="str">
        <f>"41,0445"</f>
        <v>41,0445</v>
      </c>
      <c r="M6" s="27" t="s">
        <v>28</v>
      </c>
    </row>
    <row r="8" spans="1:13" ht="15" x14ac:dyDescent="0.25">
      <c r="E8" s="35" t="s">
        <v>70</v>
      </c>
    </row>
    <row r="9" spans="1:13" ht="15" x14ac:dyDescent="0.25">
      <c r="E9" s="35" t="s">
        <v>71</v>
      </c>
    </row>
    <row r="10" spans="1:13" ht="15" x14ac:dyDescent="0.25">
      <c r="E10" s="35" t="s">
        <v>72</v>
      </c>
    </row>
    <row r="11" spans="1:13" ht="15" x14ac:dyDescent="0.25">
      <c r="E11" s="35" t="s">
        <v>73</v>
      </c>
    </row>
    <row r="12" spans="1:13" ht="15" x14ac:dyDescent="0.25">
      <c r="E12" s="35" t="s">
        <v>73</v>
      </c>
    </row>
    <row r="13" spans="1:13" ht="15" x14ac:dyDescent="0.25">
      <c r="E13" s="35" t="s">
        <v>74</v>
      </c>
    </row>
    <row r="14" spans="1:13" ht="15" x14ac:dyDescent="0.25">
      <c r="E14" s="35"/>
    </row>
    <row r="16" spans="1:13" ht="17.399999999999999" x14ac:dyDescent="0.3">
      <c r="A16" s="36" t="s">
        <v>75</v>
      </c>
      <c r="B16" s="36"/>
    </row>
    <row r="17" spans="1:5" ht="15.6" x14ac:dyDescent="0.3">
      <c r="A17" s="37" t="s">
        <v>76</v>
      </c>
      <c r="B17" s="37"/>
    </row>
    <row r="18" spans="1:5" ht="14.4" x14ac:dyDescent="0.3">
      <c r="A18" s="39"/>
      <c r="B18" s="40" t="s">
        <v>85</v>
      </c>
    </row>
    <row r="19" spans="1:5" ht="13.8" x14ac:dyDescent="0.25">
      <c r="A19" s="41" t="s">
        <v>78</v>
      </c>
      <c r="B19" s="41" t="s">
        <v>79</v>
      </c>
      <c r="C19" s="41" t="s">
        <v>80</v>
      </c>
      <c r="D19" s="42" t="s">
        <v>217</v>
      </c>
      <c r="E19" s="41" t="s">
        <v>82</v>
      </c>
    </row>
    <row r="20" spans="1:5" x14ac:dyDescent="0.25">
      <c r="A20" s="38" t="s">
        <v>355</v>
      </c>
      <c r="B20" s="4" t="s">
        <v>85</v>
      </c>
      <c r="C20" s="4" t="s">
        <v>218</v>
      </c>
      <c r="D20" s="43">
        <v>70</v>
      </c>
      <c r="E20" s="44">
        <v>41.044501662254298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9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33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30.21875" style="4" bestFit="1" customWidth="1"/>
    <col min="7" max="9" width="5.5546875" style="3" customWidth="1"/>
    <col min="10" max="10" width="4.5546875" style="3" customWidth="1"/>
    <col min="11" max="11" width="7.6640625" style="7" bestFit="1" customWidth="1"/>
    <col min="12" max="12" width="8.5546875" style="8" bestFit="1" customWidth="1"/>
    <col min="13" max="13" width="16.44140625" style="4" bestFit="1" customWidth="1"/>
    <col min="14" max="16384" width="9.109375" style="3"/>
  </cols>
  <sheetData>
    <row r="1" spans="1:13" s="2" customFormat="1" ht="28.95" customHeight="1" x14ac:dyDescent="0.25">
      <c r="A1" s="24" t="s">
        <v>312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13</v>
      </c>
      <c r="H3" s="17"/>
      <c r="I3" s="17"/>
      <c r="J3" s="17"/>
      <c r="K3" s="10" t="s">
        <v>207</v>
      </c>
      <c r="L3" s="10" t="s">
        <v>3</v>
      </c>
      <c r="M3" s="22" t="s">
        <v>2</v>
      </c>
    </row>
    <row r="4" spans="1:13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11"/>
      <c r="L4" s="11"/>
      <c r="M4" s="23"/>
    </row>
    <row r="5" spans="1:13" ht="15.6" x14ac:dyDescent="0.3">
      <c r="A5" s="25" t="s">
        <v>14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x14ac:dyDescent="0.25">
      <c r="A6" s="45" t="s">
        <v>172</v>
      </c>
      <c r="B6" s="45" t="s">
        <v>173</v>
      </c>
      <c r="C6" s="45" t="s">
        <v>174</v>
      </c>
      <c r="D6" s="46" t="str">
        <f>"1,1076"</f>
        <v>1,1076</v>
      </c>
      <c r="E6" s="45" t="s">
        <v>175</v>
      </c>
      <c r="F6" s="45" t="s">
        <v>50</v>
      </c>
      <c r="G6" s="47" t="s">
        <v>39</v>
      </c>
      <c r="H6" s="47" t="s">
        <v>129</v>
      </c>
      <c r="I6" s="47" t="s">
        <v>135</v>
      </c>
      <c r="J6" s="48"/>
      <c r="K6" s="49" t="str">
        <f>"137,5"</f>
        <v>137,5</v>
      </c>
      <c r="L6" s="50" t="str">
        <f>"152,2950"</f>
        <v>152,2950</v>
      </c>
      <c r="M6" s="45" t="s">
        <v>28</v>
      </c>
    </row>
    <row r="7" spans="1:13" x14ac:dyDescent="0.25">
      <c r="A7" s="51" t="s">
        <v>314</v>
      </c>
      <c r="B7" s="51" t="s">
        <v>315</v>
      </c>
      <c r="C7" s="51" t="s">
        <v>316</v>
      </c>
      <c r="D7" s="52" t="str">
        <f>"1,1212"</f>
        <v>1,1212</v>
      </c>
      <c r="E7" s="51" t="s">
        <v>19</v>
      </c>
      <c r="F7" s="51" t="s">
        <v>50</v>
      </c>
      <c r="G7" s="53" t="s">
        <v>107</v>
      </c>
      <c r="H7" s="54" t="s">
        <v>107</v>
      </c>
      <c r="I7" s="53" t="s">
        <v>189</v>
      </c>
      <c r="J7" s="53"/>
      <c r="K7" s="55" t="str">
        <f>"90,0"</f>
        <v>90,0</v>
      </c>
      <c r="L7" s="56" t="str">
        <f>"100,9080"</f>
        <v>100,9080</v>
      </c>
      <c r="M7" s="51" t="s">
        <v>28</v>
      </c>
    </row>
    <row r="9" spans="1:13" ht="15.6" x14ac:dyDescent="0.3">
      <c r="A9" s="33" t="s">
        <v>112</v>
      </c>
      <c r="B9" s="34"/>
      <c r="C9" s="34"/>
      <c r="D9" s="34"/>
      <c r="E9" s="34"/>
      <c r="F9" s="34"/>
      <c r="G9" s="34"/>
      <c r="H9" s="34"/>
      <c r="I9" s="34"/>
      <c r="J9" s="34"/>
    </row>
    <row r="10" spans="1:13" x14ac:dyDescent="0.25">
      <c r="A10" s="45" t="s">
        <v>318</v>
      </c>
      <c r="B10" s="45" t="s">
        <v>319</v>
      </c>
      <c r="C10" s="45" t="s">
        <v>320</v>
      </c>
      <c r="D10" s="46" t="str">
        <f>"0,9070"</f>
        <v>0,9070</v>
      </c>
      <c r="E10" s="45" t="s">
        <v>175</v>
      </c>
      <c r="F10" s="45" t="s">
        <v>50</v>
      </c>
      <c r="G10" s="47" t="s">
        <v>183</v>
      </c>
      <c r="H10" s="48" t="s">
        <v>189</v>
      </c>
      <c r="I10" s="47" t="s">
        <v>189</v>
      </c>
      <c r="J10" s="48"/>
      <c r="K10" s="49" t="str">
        <f>"100,0"</f>
        <v>100,0</v>
      </c>
      <c r="L10" s="50" t="str">
        <f>"90,7000"</f>
        <v>90,7000</v>
      </c>
      <c r="M10" s="45" t="s">
        <v>28</v>
      </c>
    </row>
    <row r="11" spans="1:13" x14ac:dyDescent="0.25">
      <c r="A11" s="57" t="s">
        <v>322</v>
      </c>
      <c r="B11" s="57" t="s">
        <v>323</v>
      </c>
      <c r="C11" s="57" t="s">
        <v>324</v>
      </c>
      <c r="D11" s="58" t="str">
        <f>"0,9559"</f>
        <v>0,9559</v>
      </c>
      <c r="E11" s="57" t="s">
        <v>19</v>
      </c>
      <c r="F11" s="57" t="s">
        <v>50</v>
      </c>
      <c r="G11" s="60" t="s">
        <v>120</v>
      </c>
      <c r="H11" s="60" t="s">
        <v>121</v>
      </c>
      <c r="I11" s="60" t="s">
        <v>39</v>
      </c>
      <c r="J11" s="59"/>
      <c r="K11" s="61" t="str">
        <f>"120,0"</f>
        <v>120,0</v>
      </c>
      <c r="L11" s="62" t="str">
        <f>"114,7080"</f>
        <v>114,7080</v>
      </c>
      <c r="M11" s="57" t="s">
        <v>28</v>
      </c>
    </row>
    <row r="12" spans="1:13" x14ac:dyDescent="0.25">
      <c r="A12" s="51" t="s">
        <v>326</v>
      </c>
      <c r="B12" s="51" t="s">
        <v>327</v>
      </c>
      <c r="C12" s="51" t="s">
        <v>328</v>
      </c>
      <c r="D12" s="52" t="str">
        <f>"0,9511"</f>
        <v>0,9511</v>
      </c>
      <c r="E12" s="51" t="s">
        <v>49</v>
      </c>
      <c r="F12" s="51" t="s">
        <v>50</v>
      </c>
      <c r="G12" s="54" t="s">
        <v>183</v>
      </c>
      <c r="H12" s="54" t="s">
        <v>269</v>
      </c>
      <c r="I12" s="54" t="s">
        <v>120</v>
      </c>
      <c r="J12" s="53"/>
      <c r="K12" s="55" t="str">
        <f>"110,0"</f>
        <v>110,0</v>
      </c>
      <c r="L12" s="56" t="str">
        <f>"104,6210"</f>
        <v>104,6210</v>
      </c>
      <c r="M12" s="51" t="s">
        <v>109</v>
      </c>
    </row>
    <row r="14" spans="1:13" ht="15.6" x14ac:dyDescent="0.3">
      <c r="A14" s="33" t="s">
        <v>130</v>
      </c>
      <c r="B14" s="34"/>
      <c r="C14" s="34"/>
      <c r="D14" s="34"/>
      <c r="E14" s="34"/>
      <c r="F14" s="34"/>
      <c r="G14" s="34"/>
      <c r="H14" s="34"/>
      <c r="I14" s="34"/>
      <c r="J14" s="34"/>
    </row>
    <row r="15" spans="1:13" x14ac:dyDescent="0.25">
      <c r="A15" s="27" t="s">
        <v>329</v>
      </c>
      <c r="B15" s="27" t="s">
        <v>133</v>
      </c>
      <c r="C15" s="27" t="s">
        <v>134</v>
      </c>
      <c r="D15" s="28" t="str">
        <f>"0,8391"</f>
        <v>0,8391</v>
      </c>
      <c r="E15" s="27" t="s">
        <v>19</v>
      </c>
      <c r="F15" s="27" t="s">
        <v>20</v>
      </c>
      <c r="G15" s="29" t="s">
        <v>40</v>
      </c>
      <c r="H15" s="29" t="s">
        <v>143</v>
      </c>
      <c r="I15" s="30" t="s">
        <v>54</v>
      </c>
      <c r="J15" s="30"/>
      <c r="K15" s="31" t="str">
        <f>"132,5"</f>
        <v>132,5</v>
      </c>
      <c r="L15" s="32" t="str">
        <f>"111,1808"</f>
        <v>111,1808</v>
      </c>
      <c r="M15" s="27" t="s">
        <v>28</v>
      </c>
    </row>
    <row r="17" spans="1:13" ht="15.6" x14ac:dyDescent="0.3">
      <c r="A17" s="33" t="s">
        <v>112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3" x14ac:dyDescent="0.25">
      <c r="A18" s="27" t="s">
        <v>331</v>
      </c>
      <c r="B18" s="27" t="s">
        <v>332</v>
      </c>
      <c r="C18" s="27" t="s">
        <v>333</v>
      </c>
      <c r="D18" s="28" t="str">
        <f>"0,7503"</f>
        <v>0,7503</v>
      </c>
      <c r="E18" s="27" t="s">
        <v>49</v>
      </c>
      <c r="F18" s="27" t="s">
        <v>50</v>
      </c>
      <c r="G18" s="29" t="s">
        <v>287</v>
      </c>
      <c r="H18" s="29" t="s">
        <v>51</v>
      </c>
      <c r="I18" s="30" t="s">
        <v>334</v>
      </c>
      <c r="J18" s="30"/>
      <c r="K18" s="31" t="str">
        <f>"175,0"</f>
        <v>175,0</v>
      </c>
      <c r="L18" s="32" t="str">
        <f>"131,3112"</f>
        <v>131,3112</v>
      </c>
      <c r="M18" s="27" t="s">
        <v>103</v>
      </c>
    </row>
    <row r="20" spans="1:13" ht="15.6" x14ac:dyDescent="0.3">
      <c r="A20" s="33" t="s">
        <v>130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3" x14ac:dyDescent="0.25">
      <c r="A21" s="27" t="s">
        <v>336</v>
      </c>
      <c r="B21" s="27" t="s">
        <v>337</v>
      </c>
      <c r="C21" s="27" t="s">
        <v>338</v>
      </c>
      <c r="D21" s="28" t="str">
        <f>"0,6975"</f>
        <v>0,6975</v>
      </c>
      <c r="E21" s="27" t="s">
        <v>214</v>
      </c>
      <c r="F21" s="27" t="s">
        <v>215</v>
      </c>
      <c r="G21" s="30" t="s">
        <v>339</v>
      </c>
      <c r="H21" s="29" t="s">
        <v>339</v>
      </c>
      <c r="I21" s="29" t="s">
        <v>340</v>
      </c>
      <c r="J21" s="30"/>
      <c r="K21" s="31" t="str">
        <f>"207,5"</f>
        <v>207,5</v>
      </c>
      <c r="L21" s="32" t="str">
        <f>"144,7416"</f>
        <v>144,7416</v>
      </c>
      <c r="M21" s="27" t="s">
        <v>28</v>
      </c>
    </row>
    <row r="23" spans="1:13" ht="15.6" x14ac:dyDescent="0.3">
      <c r="A23" s="33" t="s">
        <v>29</v>
      </c>
      <c r="B23" s="34"/>
      <c r="C23" s="34"/>
      <c r="D23" s="34"/>
      <c r="E23" s="34"/>
      <c r="F23" s="34"/>
      <c r="G23" s="34"/>
      <c r="H23" s="34"/>
      <c r="I23" s="34"/>
      <c r="J23" s="34"/>
    </row>
    <row r="24" spans="1:13" x14ac:dyDescent="0.25">
      <c r="A24" s="27" t="s">
        <v>342</v>
      </c>
      <c r="B24" s="27" t="s">
        <v>343</v>
      </c>
      <c r="C24" s="27" t="s">
        <v>344</v>
      </c>
      <c r="D24" s="28" t="str">
        <f>"0,6513"</f>
        <v>0,6513</v>
      </c>
      <c r="E24" s="27" t="s">
        <v>175</v>
      </c>
      <c r="F24" s="27" t="s">
        <v>50</v>
      </c>
      <c r="G24" s="29" t="s">
        <v>52</v>
      </c>
      <c r="H24" s="29" t="s">
        <v>53</v>
      </c>
      <c r="I24" s="29" t="s">
        <v>96</v>
      </c>
      <c r="J24" s="30"/>
      <c r="K24" s="31" t="str">
        <f>"200,0"</f>
        <v>200,0</v>
      </c>
      <c r="L24" s="32" t="str">
        <f>"130,2600"</f>
        <v>130,2600</v>
      </c>
      <c r="M24" s="27" t="s">
        <v>256</v>
      </c>
    </row>
    <row r="26" spans="1:13" ht="15.6" x14ac:dyDescent="0.3">
      <c r="A26" s="33" t="s">
        <v>44</v>
      </c>
      <c r="B26" s="34"/>
      <c r="C26" s="34"/>
      <c r="D26" s="34"/>
      <c r="E26" s="34"/>
      <c r="F26" s="34"/>
      <c r="G26" s="34"/>
      <c r="H26" s="34"/>
      <c r="I26" s="34"/>
      <c r="J26" s="34"/>
    </row>
    <row r="27" spans="1:13" x14ac:dyDescent="0.25">
      <c r="A27" s="45" t="s">
        <v>346</v>
      </c>
      <c r="B27" s="45" t="s">
        <v>347</v>
      </c>
      <c r="C27" s="45" t="s">
        <v>348</v>
      </c>
      <c r="D27" s="46" t="str">
        <f>"0,6126"</f>
        <v>0,6126</v>
      </c>
      <c r="E27" s="45" t="s">
        <v>19</v>
      </c>
      <c r="F27" s="45" t="s">
        <v>349</v>
      </c>
      <c r="G27" s="47" t="s">
        <v>96</v>
      </c>
      <c r="H27" s="47" t="s">
        <v>162</v>
      </c>
      <c r="I27" s="47" t="s">
        <v>66</v>
      </c>
      <c r="J27" s="48"/>
      <c r="K27" s="49" t="str">
        <f>"240,0"</f>
        <v>240,0</v>
      </c>
      <c r="L27" s="50" t="str">
        <f>"147,0240"</f>
        <v>147,0240</v>
      </c>
      <c r="M27" s="45" t="s">
        <v>28</v>
      </c>
    </row>
    <row r="28" spans="1:13" x14ac:dyDescent="0.25">
      <c r="A28" s="51" t="s">
        <v>346</v>
      </c>
      <c r="B28" s="51" t="s">
        <v>350</v>
      </c>
      <c r="C28" s="51" t="s">
        <v>348</v>
      </c>
      <c r="D28" s="52" t="str">
        <f>"0,6126"</f>
        <v>0,6126</v>
      </c>
      <c r="E28" s="51" t="s">
        <v>19</v>
      </c>
      <c r="F28" s="51" t="s">
        <v>349</v>
      </c>
      <c r="G28" s="54" t="s">
        <v>96</v>
      </c>
      <c r="H28" s="54" t="s">
        <v>162</v>
      </c>
      <c r="I28" s="54" t="s">
        <v>66</v>
      </c>
      <c r="J28" s="53"/>
      <c r="K28" s="55" t="str">
        <f>"240,0"</f>
        <v>240,0</v>
      </c>
      <c r="L28" s="56" t="str">
        <f>"171,2830"</f>
        <v>171,2830</v>
      </c>
      <c r="M28" s="51" t="s">
        <v>28</v>
      </c>
    </row>
    <row r="30" spans="1:13" ht="15" x14ac:dyDescent="0.25">
      <c r="E30" s="35" t="s">
        <v>70</v>
      </c>
    </row>
    <row r="31" spans="1:13" ht="15" x14ac:dyDescent="0.25">
      <c r="E31" s="35" t="s">
        <v>71</v>
      </c>
    </row>
    <row r="32" spans="1:13" ht="15" x14ac:dyDescent="0.25">
      <c r="E32" s="35" t="s">
        <v>72</v>
      </c>
    </row>
    <row r="33" spans="1:5" ht="15" x14ac:dyDescent="0.25">
      <c r="E33" s="35" t="s">
        <v>73</v>
      </c>
    </row>
    <row r="34" spans="1:5" ht="15" x14ac:dyDescent="0.25">
      <c r="E34" s="35" t="s">
        <v>73</v>
      </c>
    </row>
    <row r="35" spans="1:5" ht="15" x14ac:dyDescent="0.25">
      <c r="E35" s="35" t="s">
        <v>74</v>
      </c>
    </row>
    <row r="36" spans="1:5" ht="15" x14ac:dyDescent="0.25">
      <c r="E36" s="35"/>
    </row>
    <row r="38" spans="1:5" ht="17.399999999999999" x14ac:dyDescent="0.3">
      <c r="A38" s="36" t="s">
        <v>75</v>
      </c>
      <c r="B38" s="36"/>
    </row>
    <row r="39" spans="1:5" ht="15.6" x14ac:dyDescent="0.3">
      <c r="A39" s="37" t="s">
        <v>163</v>
      </c>
      <c r="B39" s="37"/>
    </row>
    <row r="40" spans="1:5" ht="14.4" x14ac:dyDescent="0.3">
      <c r="A40" s="39"/>
      <c r="B40" s="40" t="s">
        <v>164</v>
      </c>
    </row>
    <row r="41" spans="1:5" ht="13.8" x14ac:dyDescent="0.25">
      <c r="A41" s="41" t="s">
        <v>78</v>
      </c>
      <c r="B41" s="41" t="s">
        <v>79</v>
      </c>
      <c r="C41" s="41" t="s">
        <v>80</v>
      </c>
      <c r="D41" s="42" t="s">
        <v>217</v>
      </c>
      <c r="E41" s="41" t="s">
        <v>82</v>
      </c>
    </row>
    <row r="42" spans="1:5" x14ac:dyDescent="0.25">
      <c r="A42" s="38" t="s">
        <v>131</v>
      </c>
      <c r="B42" s="4" t="s">
        <v>169</v>
      </c>
      <c r="C42" s="4" t="s">
        <v>168</v>
      </c>
      <c r="D42" s="43">
        <v>132.5</v>
      </c>
      <c r="E42" s="44">
        <v>111.18075042963</v>
      </c>
    </row>
    <row r="43" spans="1:5" x14ac:dyDescent="0.25">
      <c r="A43" s="38" t="s">
        <v>317</v>
      </c>
      <c r="B43" s="4" t="s">
        <v>83</v>
      </c>
      <c r="C43" s="4" t="s">
        <v>166</v>
      </c>
      <c r="D43" s="43">
        <v>100</v>
      </c>
      <c r="E43" s="44">
        <v>90.700000524520902</v>
      </c>
    </row>
    <row r="45" spans="1:5" ht="14.4" x14ac:dyDescent="0.3">
      <c r="A45" s="39"/>
      <c r="B45" s="40" t="s">
        <v>85</v>
      </c>
    </row>
    <row r="46" spans="1:5" ht="13.8" x14ac:dyDescent="0.25">
      <c r="A46" s="41" t="s">
        <v>78</v>
      </c>
      <c r="B46" s="41" t="s">
        <v>79</v>
      </c>
      <c r="C46" s="41" t="s">
        <v>80</v>
      </c>
      <c r="D46" s="42" t="s">
        <v>217</v>
      </c>
      <c r="E46" s="41" t="s">
        <v>82</v>
      </c>
    </row>
    <row r="47" spans="1:5" x14ac:dyDescent="0.25">
      <c r="A47" s="38" t="s">
        <v>171</v>
      </c>
      <c r="B47" s="4" t="s">
        <v>85</v>
      </c>
      <c r="C47" s="4" t="s">
        <v>84</v>
      </c>
      <c r="D47" s="43">
        <v>137.5</v>
      </c>
      <c r="E47" s="44">
        <v>152.294996380806</v>
      </c>
    </row>
    <row r="48" spans="1:5" x14ac:dyDescent="0.25">
      <c r="A48" s="38" t="s">
        <v>321</v>
      </c>
      <c r="B48" s="4" t="s">
        <v>85</v>
      </c>
      <c r="C48" s="4" t="s">
        <v>166</v>
      </c>
      <c r="D48" s="43">
        <v>120</v>
      </c>
      <c r="E48" s="44">
        <v>114.708001613617</v>
      </c>
    </row>
    <row r="49" spans="1:5" x14ac:dyDescent="0.25">
      <c r="A49" s="38" t="s">
        <v>313</v>
      </c>
      <c r="B49" s="4" t="s">
        <v>85</v>
      </c>
      <c r="C49" s="4" t="s">
        <v>84</v>
      </c>
      <c r="D49" s="43">
        <v>90</v>
      </c>
      <c r="E49" s="44">
        <v>100.90799689292901</v>
      </c>
    </row>
    <row r="51" spans="1:5" ht="14.4" x14ac:dyDescent="0.3">
      <c r="A51" s="39"/>
      <c r="B51" s="40" t="s">
        <v>351</v>
      </c>
    </row>
    <row r="52" spans="1:5" ht="13.8" x14ac:dyDescent="0.25">
      <c r="A52" s="41" t="s">
        <v>78</v>
      </c>
      <c r="B52" s="41" t="s">
        <v>79</v>
      </c>
      <c r="C52" s="41" t="s">
        <v>80</v>
      </c>
      <c r="D52" s="42" t="s">
        <v>217</v>
      </c>
      <c r="E52" s="41" t="s">
        <v>82</v>
      </c>
    </row>
    <row r="53" spans="1:5" x14ac:dyDescent="0.25">
      <c r="A53" s="38" t="s">
        <v>325</v>
      </c>
      <c r="B53" s="4" t="s">
        <v>352</v>
      </c>
      <c r="C53" s="4" t="s">
        <v>166</v>
      </c>
      <c r="D53" s="43">
        <v>110</v>
      </c>
      <c r="E53" s="44">
        <v>104.620999097824</v>
      </c>
    </row>
    <row r="56" spans="1:5" ht="15.6" x14ac:dyDescent="0.3">
      <c r="A56" s="37" t="s">
        <v>76</v>
      </c>
      <c r="B56" s="37"/>
    </row>
    <row r="57" spans="1:5" ht="14.4" x14ac:dyDescent="0.3">
      <c r="A57" s="39"/>
      <c r="B57" s="40" t="s">
        <v>77</v>
      </c>
    </row>
    <row r="58" spans="1:5" ht="13.8" x14ac:dyDescent="0.25">
      <c r="A58" s="41" t="s">
        <v>78</v>
      </c>
      <c r="B58" s="41" t="s">
        <v>79</v>
      </c>
      <c r="C58" s="41" t="s">
        <v>80</v>
      </c>
      <c r="D58" s="42" t="s">
        <v>217</v>
      </c>
      <c r="E58" s="41" t="s">
        <v>82</v>
      </c>
    </row>
    <row r="59" spans="1:5" x14ac:dyDescent="0.25">
      <c r="A59" s="38" t="s">
        <v>341</v>
      </c>
      <c r="B59" s="4" t="s">
        <v>165</v>
      </c>
      <c r="C59" s="4" t="s">
        <v>88</v>
      </c>
      <c r="D59" s="43">
        <v>200</v>
      </c>
      <c r="E59" s="44">
        <v>130.260002613068</v>
      </c>
    </row>
    <row r="61" spans="1:5" ht="14.4" x14ac:dyDescent="0.3">
      <c r="A61" s="39"/>
      <c r="B61" s="40" t="s">
        <v>85</v>
      </c>
    </row>
    <row r="62" spans="1:5" ht="13.8" x14ac:dyDescent="0.25">
      <c r="A62" s="41" t="s">
        <v>78</v>
      </c>
      <c r="B62" s="41" t="s">
        <v>79</v>
      </c>
      <c r="C62" s="41" t="s">
        <v>80</v>
      </c>
      <c r="D62" s="42" t="s">
        <v>217</v>
      </c>
      <c r="E62" s="41" t="s">
        <v>82</v>
      </c>
    </row>
    <row r="63" spans="1:5" x14ac:dyDescent="0.25">
      <c r="A63" s="38" t="s">
        <v>345</v>
      </c>
      <c r="B63" s="4" t="s">
        <v>85</v>
      </c>
      <c r="C63" s="4" t="s">
        <v>87</v>
      </c>
      <c r="D63" s="43">
        <v>240</v>
      </c>
      <c r="E63" s="44">
        <v>147.02400684356701</v>
      </c>
    </row>
    <row r="64" spans="1:5" x14ac:dyDescent="0.25">
      <c r="A64" s="38" t="s">
        <v>335</v>
      </c>
      <c r="B64" s="4" t="s">
        <v>85</v>
      </c>
      <c r="C64" s="4" t="s">
        <v>168</v>
      </c>
      <c r="D64" s="43">
        <v>207.5</v>
      </c>
      <c r="E64" s="44">
        <v>144.74162474274601</v>
      </c>
    </row>
    <row r="65" spans="1:5" x14ac:dyDescent="0.25">
      <c r="A65" s="38" t="s">
        <v>330</v>
      </c>
      <c r="B65" s="4" t="s">
        <v>85</v>
      </c>
      <c r="C65" s="4" t="s">
        <v>166</v>
      </c>
      <c r="D65" s="43">
        <v>175</v>
      </c>
      <c r="E65" s="44">
        <v>131.31124973297099</v>
      </c>
    </row>
    <row r="67" spans="1:5" ht="14.4" x14ac:dyDescent="0.3">
      <c r="A67" s="39"/>
      <c r="B67" s="40" t="s">
        <v>288</v>
      </c>
    </row>
    <row r="68" spans="1:5" ht="13.8" x14ac:dyDescent="0.25">
      <c r="A68" s="41" t="s">
        <v>78</v>
      </c>
      <c r="B68" s="41" t="s">
        <v>79</v>
      </c>
      <c r="C68" s="41" t="s">
        <v>80</v>
      </c>
      <c r="D68" s="42" t="s">
        <v>217</v>
      </c>
      <c r="E68" s="41" t="s">
        <v>82</v>
      </c>
    </row>
    <row r="69" spans="1:5" x14ac:dyDescent="0.25">
      <c r="A69" s="38" t="s">
        <v>345</v>
      </c>
      <c r="B69" s="4" t="s">
        <v>353</v>
      </c>
      <c r="C69" s="4" t="s">
        <v>87</v>
      </c>
      <c r="D69" s="43">
        <v>240</v>
      </c>
      <c r="E69" s="44">
        <v>171.28296797275499</v>
      </c>
    </row>
  </sheetData>
  <mergeCells count="18">
    <mergeCell ref="A9:J9"/>
    <mergeCell ref="A14:J14"/>
    <mergeCell ref="A17:J17"/>
    <mergeCell ref="A20:J20"/>
    <mergeCell ref="A23:J23"/>
    <mergeCell ref="A26:J26"/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workbookViewId="0">
      <selection sqref="A1:Y2"/>
    </sheetView>
  </sheetViews>
  <sheetFormatPr defaultColWidth="9.109375" defaultRowHeight="13.2" x14ac:dyDescent="0.25"/>
  <cols>
    <col min="1" max="1" width="24.6640625" style="4" bestFit="1" customWidth="1"/>
    <col min="2" max="2" width="25.21875" style="4" bestFit="1" customWidth="1"/>
    <col min="3" max="3" width="14.88671875" style="4" bestFit="1" customWidth="1"/>
    <col min="4" max="4" width="11.88671875" style="5" bestFit="1" customWidth="1"/>
    <col min="5" max="5" width="21.77734375" style="4" bestFit="1" customWidth="1"/>
    <col min="6" max="6" width="32" style="4" bestFit="1" customWidth="1"/>
    <col min="7" max="10" width="4.5546875" style="3" customWidth="1"/>
    <col min="11" max="11" width="7.6640625" style="7" bestFit="1" customWidth="1"/>
    <col min="12" max="12" width="7.5546875" style="8" bestFit="1" customWidth="1"/>
    <col min="13" max="13" width="8.33203125" style="4" bestFit="1" customWidth="1"/>
    <col min="14" max="16384" width="9.109375" style="3"/>
  </cols>
  <sheetData>
    <row r="1" spans="1:13" s="2" customFormat="1" ht="28.95" customHeight="1" x14ac:dyDescent="0.25">
      <c r="A1" s="24" t="s">
        <v>310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3"/>
    </row>
    <row r="2" spans="1:13" s="2" customFormat="1" ht="61.95" customHeight="1" thickBot="1" x14ac:dyDescent="0.3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6"/>
    </row>
    <row r="3" spans="1:13" s="1" customFormat="1" ht="12.75" customHeight="1" x14ac:dyDescent="0.25">
      <c r="A3" s="18" t="s">
        <v>0</v>
      </c>
      <c r="B3" s="20" t="s">
        <v>6</v>
      </c>
      <c r="C3" s="20" t="s">
        <v>8</v>
      </c>
      <c r="D3" s="10" t="s">
        <v>10</v>
      </c>
      <c r="E3" s="17" t="s">
        <v>4</v>
      </c>
      <c r="F3" s="17" t="s">
        <v>7</v>
      </c>
      <c r="G3" s="17" t="s">
        <v>311</v>
      </c>
      <c r="H3" s="17"/>
      <c r="I3" s="17"/>
      <c r="J3" s="17"/>
      <c r="K3" s="10" t="s">
        <v>207</v>
      </c>
      <c r="L3" s="10" t="s">
        <v>3</v>
      </c>
      <c r="M3" s="22" t="s">
        <v>2</v>
      </c>
    </row>
    <row r="4" spans="1:13" s="1" customFormat="1" ht="21" customHeight="1" thickBot="1" x14ac:dyDescent="0.3">
      <c r="A4" s="19"/>
      <c r="B4" s="21"/>
      <c r="C4" s="21"/>
      <c r="D4" s="11"/>
      <c r="E4" s="21"/>
      <c r="F4" s="21"/>
      <c r="G4" s="9">
        <v>1</v>
      </c>
      <c r="H4" s="9">
        <v>2</v>
      </c>
      <c r="I4" s="9">
        <v>3</v>
      </c>
      <c r="J4" s="9" t="s">
        <v>5</v>
      </c>
      <c r="K4" s="11"/>
      <c r="L4" s="11"/>
      <c r="M4" s="23"/>
    </row>
    <row r="5" spans="1:13" ht="15.6" x14ac:dyDescent="0.3">
      <c r="A5" s="25" t="s">
        <v>29</v>
      </c>
      <c r="B5" s="26"/>
      <c r="C5" s="26"/>
      <c r="D5" s="26"/>
      <c r="E5" s="26"/>
      <c r="F5" s="26"/>
      <c r="G5" s="26"/>
      <c r="H5" s="26"/>
      <c r="I5" s="26"/>
      <c r="J5" s="26"/>
    </row>
    <row r="6" spans="1:13" x14ac:dyDescent="0.25">
      <c r="A6" s="27" t="s">
        <v>31</v>
      </c>
      <c r="B6" s="27" t="s">
        <v>32</v>
      </c>
      <c r="C6" s="27" t="s">
        <v>33</v>
      </c>
      <c r="D6" s="28" t="str">
        <f>"0,6456"</f>
        <v>0,6456</v>
      </c>
      <c r="E6" s="27" t="s">
        <v>34</v>
      </c>
      <c r="F6" s="27" t="s">
        <v>35</v>
      </c>
      <c r="G6" s="29" t="s">
        <v>119</v>
      </c>
      <c r="H6" s="29" t="s">
        <v>22</v>
      </c>
      <c r="I6" s="30" t="s">
        <v>26</v>
      </c>
      <c r="J6" s="30"/>
      <c r="K6" s="31" t="str">
        <f>"60,0"</f>
        <v>60,0</v>
      </c>
      <c r="L6" s="32" t="str">
        <f>"38,7360"</f>
        <v>38,7360</v>
      </c>
      <c r="M6" s="27" t="s">
        <v>28</v>
      </c>
    </row>
    <row r="8" spans="1:13" ht="15" x14ac:dyDescent="0.25">
      <c r="E8" s="35" t="s">
        <v>70</v>
      </c>
    </row>
    <row r="9" spans="1:13" ht="15" x14ac:dyDescent="0.25">
      <c r="E9" s="35" t="s">
        <v>71</v>
      </c>
    </row>
    <row r="10" spans="1:13" ht="15" x14ac:dyDescent="0.25">
      <c r="E10" s="35" t="s">
        <v>72</v>
      </c>
    </row>
    <row r="11" spans="1:13" ht="15" x14ac:dyDescent="0.25">
      <c r="E11" s="35" t="s">
        <v>73</v>
      </c>
    </row>
    <row r="12" spans="1:13" ht="15" x14ac:dyDescent="0.25">
      <c r="E12" s="35" t="s">
        <v>73</v>
      </c>
    </row>
    <row r="13" spans="1:13" ht="15" x14ac:dyDescent="0.25">
      <c r="E13" s="35" t="s">
        <v>74</v>
      </c>
    </row>
    <row r="14" spans="1:13" ht="15" x14ac:dyDescent="0.25">
      <c r="E14" s="35"/>
    </row>
    <row r="16" spans="1:13" ht="17.399999999999999" x14ac:dyDescent="0.3">
      <c r="A16" s="36" t="s">
        <v>75</v>
      </c>
      <c r="B16" s="36"/>
    </row>
    <row r="17" spans="1:5" ht="15.6" x14ac:dyDescent="0.3">
      <c r="A17" s="37" t="s">
        <v>76</v>
      </c>
      <c r="B17" s="37"/>
    </row>
    <row r="18" spans="1:5" ht="14.4" x14ac:dyDescent="0.3">
      <c r="A18" s="39"/>
      <c r="B18" s="40" t="s">
        <v>85</v>
      </c>
    </row>
    <row r="19" spans="1:5" ht="13.8" x14ac:dyDescent="0.25">
      <c r="A19" s="41" t="s">
        <v>78</v>
      </c>
      <c r="B19" s="41" t="s">
        <v>79</v>
      </c>
      <c r="C19" s="41" t="s">
        <v>80</v>
      </c>
      <c r="D19" s="42" t="s">
        <v>217</v>
      </c>
      <c r="E19" s="41" t="s">
        <v>82</v>
      </c>
    </row>
    <row r="20" spans="1:5" x14ac:dyDescent="0.25">
      <c r="A20" s="38" t="s">
        <v>30</v>
      </c>
      <c r="B20" s="4" t="s">
        <v>85</v>
      </c>
      <c r="C20" s="4" t="s">
        <v>88</v>
      </c>
      <c r="D20" s="43">
        <v>60</v>
      </c>
      <c r="E20" s="44">
        <v>38.736001253128101</v>
      </c>
    </row>
  </sheetData>
  <mergeCells count="12">
    <mergeCell ref="K3:K4"/>
    <mergeCell ref="L3:L4"/>
    <mergeCell ref="M3:M4"/>
    <mergeCell ref="A5:J5"/>
    <mergeCell ref="A1:M2"/>
    <mergeCell ref="A3:A4"/>
    <mergeCell ref="B3:B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17</vt:i4>
      </vt:variant>
    </vt:vector>
  </HeadingPairs>
  <TitlesOfParts>
    <vt:vector size="17" baseType="lpstr">
      <vt:lpstr>Rus Axle</vt:lpstr>
      <vt:lpstr>IPС-A Двоеборье б.э.</vt:lpstr>
      <vt:lpstr>IPС Двоеборье б.э.</vt:lpstr>
      <vt:lpstr>IPC-A Ягодичный мост</vt:lpstr>
      <vt:lpstr>IPC Ягодичный мост</vt:lpstr>
      <vt:lpstr>IPC-A К.подъем на бицепс</vt:lpstr>
      <vt:lpstr>IPC-A C.подъем на бицепс</vt:lpstr>
      <vt:lpstr>IPC-A Тяга без экипировки</vt:lpstr>
      <vt:lpstr>IPC К.подъем на бицепс</vt:lpstr>
      <vt:lpstr>IPC Тяга без экипировки</vt:lpstr>
      <vt:lpstr>IPC-A Жим софт стандарт</vt:lpstr>
      <vt:lpstr>IPC-A Жим лежа без экип</vt:lpstr>
      <vt:lpstr>IPC Жим софт стандарт</vt:lpstr>
      <vt:lpstr>IPC-A ПЛ без экипировки</vt:lpstr>
      <vt:lpstr>IPC-A Клас. ПЛ</vt:lpstr>
      <vt:lpstr>IPC ПЛ без экипировки</vt:lpstr>
      <vt:lpstr>IPC Клас. ПЛ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User</cp:lastModifiedBy>
  <cp:lastPrinted>2015-07-16T19:10:53Z</cp:lastPrinted>
  <dcterms:created xsi:type="dcterms:W3CDTF">2002-06-16T13:36:44Z</dcterms:created>
  <dcterms:modified xsi:type="dcterms:W3CDTF">2024-03-16T15:17:34Z</dcterms:modified>
</cp:coreProperties>
</file>